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9440" windowHeight="11985" tabRatio="824"/>
  </bookViews>
  <sheets>
    <sheet name="원가계산서" sheetId="14" r:id="rId1"/>
    <sheet name="집계표" sheetId="13" r:id="rId2"/>
    <sheet name="내역서" sheetId="12" r:id="rId3"/>
    <sheet name="일위대가목록" sheetId="11" state="hidden" r:id="rId4"/>
    <sheet name="일위대가표" sheetId="10" state="hidden" r:id="rId5"/>
    <sheet name="중기경비목록" sheetId="7" state="hidden" r:id="rId6"/>
    <sheet name="중기경비" sheetId="6" state="hidden" r:id="rId7"/>
    <sheet name="단가산출서목록" sheetId="9" state="hidden" r:id="rId8"/>
    <sheet name="단가산출서" sheetId="8" state="hidden" r:id="rId9"/>
    <sheet name="공량산출서" sheetId="5" state="hidden" r:id="rId10"/>
    <sheet name="자재단가대비표" sheetId="4" state="hidden" r:id="rId11"/>
    <sheet name="Sheet1" sheetId="15" state="hidden" r:id="rId12"/>
  </sheets>
  <externalReferences>
    <externalReference r:id="rId13"/>
  </externalReferences>
  <definedNames>
    <definedName name="_xlnm.Print_Area" localSheetId="9">공량산출서!$A$1:$N$77</definedName>
    <definedName name="_xlnm.Print_Area" localSheetId="2">내역서!$A$1:$M$285</definedName>
    <definedName name="_xlnm.Print_Area" localSheetId="8">단가산출서!$A$1:$F$56</definedName>
    <definedName name="_xlnm.Print_Area" localSheetId="7">단가산출서목록!$A$1:$N$24</definedName>
    <definedName name="_xlnm.Print_Area" localSheetId="0">원가계산서!$A$1:$F$25</definedName>
    <definedName name="_xlnm.Print_Area" localSheetId="3">일위대가목록!$A$1:$N$79</definedName>
    <definedName name="_xlnm.Print_Area" localSheetId="4">일위대가표!$A$1:$M$426</definedName>
    <definedName name="_xlnm.Print_Area" localSheetId="10">자재단가대비표!$A$1:$O$144</definedName>
    <definedName name="_xlnm.Print_Area" localSheetId="6">중기경비!$A$1:$M$44</definedName>
    <definedName name="_xlnm.Print_Area" localSheetId="5">중기경비목록!$A$1:$N$24</definedName>
    <definedName name="_xlnm.Print_Area" localSheetId="1">집계표!$A$1:$M$24</definedName>
    <definedName name="_xlnm.Print_Titles" localSheetId="9">공량산출서!$1:$5</definedName>
    <definedName name="_xlnm.Print_Titles" localSheetId="2">내역서!$1:$4</definedName>
    <definedName name="_xlnm.Print_Titles" localSheetId="8">단가산출서!$1:$4</definedName>
    <definedName name="_xlnm.Print_Titles" localSheetId="7">단가산출서목록!$1:$4</definedName>
    <definedName name="_xlnm.Print_Titles" localSheetId="0">원가계산서!$1:$4</definedName>
    <definedName name="_xlnm.Print_Titles" localSheetId="3">일위대가목록!$1:$4</definedName>
    <definedName name="_xlnm.Print_Titles" localSheetId="4">일위대가표!$1:$4</definedName>
    <definedName name="_xlnm.Print_Titles" localSheetId="10">자재단가대비표!$1:$4</definedName>
    <definedName name="_xlnm.Print_Titles" localSheetId="6">중기경비!$1:$4</definedName>
    <definedName name="_xlnm.Print_Titles" localSheetId="5">중기경비목록!$1:$4</definedName>
    <definedName name="_xlnm.Print_Titles" localSheetId="1">집계표!$1:$4</definedName>
  </definedNames>
  <calcPr calcId="125725" iterate="1"/>
</workbook>
</file>

<file path=xl/calcChain.xml><?xml version="1.0" encoding="utf-8"?>
<calcChain xmlns="http://schemas.openxmlformats.org/spreadsheetml/2006/main">
  <c r="J160" i="12"/>
  <c r="H160"/>
  <c r="K160"/>
  <c r="F160"/>
  <c r="AK160"/>
  <c r="AJ160"/>
  <c r="AI160"/>
  <c r="AH160"/>
  <c r="AG160"/>
  <c r="AF160"/>
  <c r="AE160"/>
  <c r="AD160"/>
  <c r="AC160"/>
  <c r="AB160"/>
  <c r="AA160"/>
  <c r="Z160"/>
  <c r="Y160"/>
  <c r="X160"/>
  <c r="W160"/>
  <c r="V160"/>
  <c r="U160"/>
  <c r="T160"/>
  <c r="S160"/>
  <c r="D47"/>
  <c r="F23" i="10"/>
  <c r="F22"/>
  <c r="D137" i="12"/>
  <c r="D400" i="10"/>
  <c r="D246"/>
  <c r="R160" i="12" l="1"/>
  <c r="L160"/>
  <c r="K8"/>
  <c r="K9" i="15"/>
  <c r="I9"/>
  <c r="AL265" i="12"/>
  <c r="AK260"/>
  <c r="AJ260"/>
  <c r="AI260"/>
  <c r="AH260"/>
  <c r="AG260"/>
  <c r="AF260"/>
  <c r="AE260"/>
  <c r="AD260"/>
  <c r="AC260"/>
  <c r="AB260"/>
  <c r="AA260"/>
  <c r="Z260"/>
  <c r="Y260"/>
  <c r="X260"/>
  <c r="W260"/>
  <c r="V260"/>
  <c r="U260"/>
  <c r="T260"/>
  <c r="S260"/>
  <c r="R260"/>
  <c r="K260"/>
  <c r="F260"/>
  <c r="B260"/>
  <c r="AK259"/>
  <c r="AJ259"/>
  <c r="AI259"/>
  <c r="AH259"/>
  <c r="AG259"/>
  <c r="AF259"/>
  <c r="AE259"/>
  <c r="AD259"/>
  <c r="AC259"/>
  <c r="AB259"/>
  <c r="AA259"/>
  <c r="Z259"/>
  <c r="Y259"/>
  <c r="X259"/>
  <c r="W259"/>
  <c r="V259"/>
  <c r="U259"/>
  <c r="T259"/>
  <c r="S259"/>
  <c r="D259"/>
  <c r="H259" s="1"/>
  <c r="AK258"/>
  <c r="AJ258"/>
  <c r="AI258"/>
  <c r="AH258"/>
  <c r="AG258"/>
  <c r="AF258"/>
  <c r="AE258"/>
  <c r="AD258"/>
  <c r="AC258"/>
  <c r="AB258"/>
  <c r="AA258"/>
  <c r="Z258"/>
  <c r="Y258"/>
  <c r="X258"/>
  <c r="W258"/>
  <c r="V258"/>
  <c r="U258"/>
  <c r="T258"/>
  <c r="S258"/>
  <c r="D258"/>
  <c r="F258" s="1"/>
  <c r="AK257"/>
  <c r="AJ257"/>
  <c r="AI257"/>
  <c r="AH257"/>
  <c r="AG257"/>
  <c r="AF257"/>
  <c r="AE257"/>
  <c r="AD257"/>
  <c r="AC257"/>
  <c r="AB257"/>
  <c r="AA257"/>
  <c r="Z257"/>
  <c r="Y257"/>
  <c r="X257"/>
  <c r="W257"/>
  <c r="V257"/>
  <c r="U257"/>
  <c r="T257"/>
  <c r="S257"/>
  <c r="J257"/>
  <c r="R257" s="1"/>
  <c r="H257"/>
  <c r="F257"/>
  <c r="AK256"/>
  <c r="AJ256"/>
  <c r="AI256"/>
  <c r="AH256"/>
  <c r="AG256"/>
  <c r="AF256"/>
  <c r="AE256"/>
  <c r="AD256"/>
  <c r="AC256"/>
  <c r="AB256"/>
  <c r="AA256"/>
  <c r="Z256"/>
  <c r="Y256"/>
  <c r="X256"/>
  <c r="W256"/>
  <c r="V256"/>
  <c r="U256"/>
  <c r="T256"/>
  <c r="S256"/>
  <c r="K256"/>
  <c r="J256"/>
  <c r="R256" s="1"/>
  <c r="H256"/>
  <c r="F256"/>
  <c r="AK255"/>
  <c r="AJ255"/>
  <c r="AI255"/>
  <c r="AH255"/>
  <c r="AG255"/>
  <c r="AF255"/>
  <c r="AE255"/>
  <c r="AD255"/>
  <c r="AC255"/>
  <c r="AB255"/>
  <c r="AA255"/>
  <c r="Z255"/>
  <c r="Y255"/>
  <c r="X255"/>
  <c r="W255"/>
  <c r="V255"/>
  <c r="U255"/>
  <c r="T255"/>
  <c r="S255"/>
  <c r="K255"/>
  <c r="J255"/>
  <c r="R255" s="1"/>
  <c r="H255"/>
  <c r="F255"/>
  <c r="AK254"/>
  <c r="AJ254"/>
  <c r="AI254"/>
  <c r="AH254"/>
  <c r="AG254"/>
  <c r="AF254"/>
  <c r="AE254"/>
  <c r="AD254"/>
  <c r="AC254"/>
  <c r="AB254"/>
  <c r="AA254"/>
  <c r="Z254"/>
  <c r="Y254"/>
  <c r="X254"/>
  <c r="W254"/>
  <c r="V254"/>
  <c r="U254"/>
  <c r="T254"/>
  <c r="S254"/>
  <c r="R254"/>
  <c r="K254"/>
  <c r="F254"/>
  <c r="L254" s="1"/>
  <c r="B254"/>
  <c r="AK253"/>
  <c r="AJ253"/>
  <c r="AI253"/>
  <c r="AH253"/>
  <c r="AG253"/>
  <c r="AF253"/>
  <c r="AE253"/>
  <c r="AD253"/>
  <c r="AC253"/>
  <c r="AB253"/>
  <c r="AA253"/>
  <c r="Z253"/>
  <c r="Y253"/>
  <c r="X253"/>
  <c r="W253"/>
  <c r="V253"/>
  <c r="U253"/>
  <c r="T253"/>
  <c r="S253"/>
  <c r="K253"/>
  <c r="D253"/>
  <c r="H253" s="1"/>
  <c r="AK252"/>
  <c r="AJ252"/>
  <c r="AI252"/>
  <c r="AH252"/>
  <c r="AG252"/>
  <c r="AF252"/>
  <c r="AE252"/>
  <c r="AD252"/>
  <c r="AC252"/>
  <c r="AB252"/>
  <c r="AA252"/>
  <c r="Z252"/>
  <c r="Y252"/>
  <c r="X252"/>
  <c r="W252"/>
  <c r="V252"/>
  <c r="U252"/>
  <c r="T252"/>
  <c r="S252"/>
  <c r="K252"/>
  <c r="D252"/>
  <c r="F252" s="1"/>
  <c r="AK251"/>
  <c r="AJ251"/>
  <c r="AI251"/>
  <c r="AH251"/>
  <c r="AG251"/>
  <c r="AF251"/>
  <c r="AE251"/>
  <c r="AD251"/>
  <c r="AC251"/>
  <c r="AB251"/>
  <c r="AA251"/>
  <c r="Z251"/>
  <c r="Y251"/>
  <c r="X251"/>
  <c r="W251"/>
  <c r="V251"/>
  <c r="U251"/>
  <c r="T251"/>
  <c r="S251"/>
  <c r="K251"/>
  <c r="J251"/>
  <c r="R251" s="1"/>
  <c r="H251"/>
  <c r="F251"/>
  <c r="AK250"/>
  <c r="AJ250"/>
  <c r="AI250"/>
  <c r="AH250"/>
  <c r="AG250"/>
  <c r="AF250"/>
  <c r="AE250"/>
  <c r="AD250"/>
  <c r="AC250"/>
  <c r="AB250"/>
  <c r="AA250"/>
  <c r="Z250"/>
  <c r="Y250"/>
  <c r="X250"/>
  <c r="W250"/>
  <c r="V250"/>
  <c r="U250"/>
  <c r="T250"/>
  <c r="S250"/>
  <c r="K250"/>
  <c r="J250"/>
  <c r="R250" s="1"/>
  <c r="H250"/>
  <c r="F250"/>
  <c r="AK249"/>
  <c r="AJ249"/>
  <c r="AI249"/>
  <c r="AH249"/>
  <c r="AG249"/>
  <c r="AF249"/>
  <c r="AE249"/>
  <c r="AD249"/>
  <c r="AC249"/>
  <c r="AB249"/>
  <c r="AA249"/>
  <c r="Z249"/>
  <c r="Y249"/>
  <c r="X249"/>
  <c r="W249"/>
  <c r="V249"/>
  <c r="U249"/>
  <c r="T249"/>
  <c r="S249"/>
  <c r="K249"/>
  <c r="J249"/>
  <c r="R249" s="1"/>
  <c r="H249"/>
  <c r="F249"/>
  <c r="AK248"/>
  <c r="AJ248"/>
  <c r="AI248"/>
  <c r="AH248"/>
  <c r="AG248"/>
  <c r="AF248"/>
  <c r="AE248"/>
  <c r="AD248"/>
  <c r="AC248"/>
  <c r="AB248"/>
  <c r="AA248"/>
  <c r="Z248"/>
  <c r="Y248"/>
  <c r="X248"/>
  <c r="W248"/>
  <c r="V248"/>
  <c r="U248"/>
  <c r="T248"/>
  <c r="S248"/>
  <c r="K248"/>
  <c r="J248"/>
  <c r="R248" s="1"/>
  <c r="H248"/>
  <c r="F248"/>
  <c r="AK247"/>
  <c r="AJ247"/>
  <c r="AI247"/>
  <c r="AH247"/>
  <c r="AG247"/>
  <c r="AF247"/>
  <c r="AE247"/>
  <c r="AD247"/>
  <c r="AC247"/>
  <c r="AB247"/>
  <c r="AA247"/>
  <c r="Z247"/>
  <c r="Y247"/>
  <c r="X247"/>
  <c r="W247"/>
  <c r="V247"/>
  <c r="U247"/>
  <c r="T247"/>
  <c r="S247"/>
  <c r="K247"/>
  <c r="J247"/>
  <c r="R247" s="1"/>
  <c r="H247"/>
  <c r="F247"/>
  <c r="AL245"/>
  <c r="AK242"/>
  <c r="AJ242"/>
  <c r="AI242"/>
  <c r="AH242"/>
  <c r="AG242"/>
  <c r="AF242"/>
  <c r="AE242"/>
  <c r="AD242"/>
  <c r="AC242"/>
  <c r="AB242"/>
  <c r="AA242"/>
  <c r="Z242"/>
  <c r="Y242"/>
  <c r="X242"/>
  <c r="W242"/>
  <c r="V242"/>
  <c r="U242"/>
  <c r="T242"/>
  <c r="S242"/>
  <c r="R242"/>
  <c r="K242"/>
  <c r="F242"/>
  <c r="L242" s="1"/>
  <c r="B242"/>
  <c r="AK241"/>
  <c r="AJ241"/>
  <c r="AI241"/>
  <c r="AH241"/>
  <c r="AG241"/>
  <c r="AF241"/>
  <c r="AE241"/>
  <c r="AD241"/>
  <c r="AC241"/>
  <c r="AB241"/>
  <c r="AA241"/>
  <c r="Z241"/>
  <c r="Y241"/>
  <c r="X241"/>
  <c r="W241"/>
  <c r="V241"/>
  <c r="U241"/>
  <c r="T241"/>
  <c r="S241"/>
  <c r="K241"/>
  <c r="D241"/>
  <c r="F241" s="1"/>
  <c r="AK240"/>
  <c r="AJ240"/>
  <c r="AI240"/>
  <c r="AH240"/>
  <c r="AG240"/>
  <c r="AF240"/>
  <c r="AE240"/>
  <c r="AD240"/>
  <c r="AC240"/>
  <c r="AB240"/>
  <c r="AA240"/>
  <c r="Z240"/>
  <c r="Y240"/>
  <c r="X240"/>
  <c r="W240"/>
  <c r="V240"/>
  <c r="U240"/>
  <c r="T240"/>
  <c r="S240"/>
  <c r="K240"/>
  <c r="D240"/>
  <c r="H240" s="1"/>
  <c r="AK239"/>
  <c r="AJ239"/>
  <c r="AI239"/>
  <c r="AH239"/>
  <c r="AG239"/>
  <c r="AF239"/>
  <c r="AE239"/>
  <c r="AD239"/>
  <c r="AC239"/>
  <c r="AB239"/>
  <c r="AA239"/>
  <c r="Z239"/>
  <c r="Y239"/>
  <c r="X239"/>
  <c r="W239"/>
  <c r="V239"/>
  <c r="U239"/>
  <c r="T239"/>
  <c r="S239"/>
  <c r="K239"/>
  <c r="D239"/>
  <c r="F239" s="1"/>
  <c r="AK238"/>
  <c r="AJ238"/>
  <c r="AI238"/>
  <c r="AH238"/>
  <c r="AG238"/>
  <c r="AF238"/>
  <c r="AE238"/>
  <c r="AD238"/>
  <c r="AC238"/>
  <c r="AB238"/>
  <c r="AA238"/>
  <c r="Z238"/>
  <c r="Y238"/>
  <c r="X238"/>
  <c r="W238"/>
  <c r="V238"/>
  <c r="U238"/>
  <c r="T238"/>
  <c r="S238"/>
  <c r="K238"/>
  <c r="J238"/>
  <c r="R238" s="1"/>
  <c r="H238"/>
  <c r="F238"/>
  <c r="AK237"/>
  <c r="AJ237"/>
  <c r="AI237"/>
  <c r="AH237"/>
  <c r="AG237"/>
  <c r="AF237"/>
  <c r="AE237"/>
  <c r="AD237"/>
  <c r="AC237"/>
  <c r="AB237"/>
  <c r="AA237"/>
  <c r="Z237"/>
  <c r="Y237"/>
  <c r="X237"/>
  <c r="W237"/>
  <c r="V237"/>
  <c r="U237"/>
  <c r="T237"/>
  <c r="S237"/>
  <c r="K237"/>
  <c r="J237"/>
  <c r="R237" s="1"/>
  <c r="H237"/>
  <c r="F237"/>
  <c r="AK236"/>
  <c r="AJ236"/>
  <c r="AI236"/>
  <c r="AH236"/>
  <c r="AG236"/>
  <c r="AF236"/>
  <c r="AE236"/>
  <c r="AD236"/>
  <c r="AC236"/>
  <c r="AB236"/>
  <c r="AA236"/>
  <c r="Z236"/>
  <c r="Y236"/>
  <c r="X236"/>
  <c r="W236"/>
  <c r="V236"/>
  <c r="U236"/>
  <c r="T236"/>
  <c r="S236"/>
  <c r="R236"/>
  <c r="K236"/>
  <c r="F236"/>
  <c r="L236" s="1"/>
  <c r="B236"/>
  <c r="AK235"/>
  <c r="AJ235"/>
  <c r="AI235"/>
  <c r="AH235"/>
  <c r="AG235"/>
  <c r="AF235"/>
  <c r="AE235"/>
  <c r="AD235"/>
  <c r="AC235"/>
  <c r="AB235"/>
  <c r="AA235"/>
  <c r="Z235"/>
  <c r="Y235"/>
  <c r="X235"/>
  <c r="W235"/>
  <c r="V235"/>
  <c r="U235"/>
  <c r="T235"/>
  <c r="S235"/>
  <c r="K235"/>
  <c r="H235"/>
  <c r="D235"/>
  <c r="F235" s="1"/>
  <c r="AK234"/>
  <c r="AJ234"/>
  <c r="AI234"/>
  <c r="AH234"/>
  <c r="AG234"/>
  <c r="AF234"/>
  <c r="AE234"/>
  <c r="AD234"/>
  <c r="AC234"/>
  <c r="AB234"/>
  <c r="AA234"/>
  <c r="Z234"/>
  <c r="Y234"/>
  <c r="X234"/>
  <c r="W234"/>
  <c r="V234"/>
  <c r="U234"/>
  <c r="T234"/>
  <c r="S234"/>
  <c r="K234"/>
  <c r="J234"/>
  <c r="R234" s="1"/>
  <c r="H234"/>
  <c r="F234"/>
  <c r="AK233"/>
  <c r="AJ233"/>
  <c r="AI233"/>
  <c r="AH233"/>
  <c r="AG233"/>
  <c r="AF233"/>
  <c r="AE233"/>
  <c r="AD233"/>
  <c r="AC233"/>
  <c r="AB233"/>
  <c r="AA233"/>
  <c r="Z233"/>
  <c r="Y233"/>
  <c r="X233"/>
  <c r="W233"/>
  <c r="V233"/>
  <c r="U233"/>
  <c r="T233"/>
  <c r="S233"/>
  <c r="K233"/>
  <c r="D233"/>
  <c r="J233" s="1"/>
  <c r="R233" s="1"/>
  <c r="AK232"/>
  <c r="AJ232"/>
  <c r="AI232"/>
  <c r="AH232"/>
  <c r="AG232"/>
  <c r="AF232"/>
  <c r="AE232"/>
  <c r="AD232"/>
  <c r="AC232"/>
  <c r="AB232"/>
  <c r="AA232"/>
  <c r="Z232"/>
  <c r="Y232"/>
  <c r="X232"/>
  <c r="W232"/>
  <c r="V232"/>
  <c r="U232"/>
  <c r="T232"/>
  <c r="S232"/>
  <c r="K232"/>
  <c r="D232"/>
  <c r="F232" s="1"/>
  <c r="AK231"/>
  <c r="AJ231"/>
  <c r="AI231"/>
  <c r="AH231"/>
  <c r="AG231"/>
  <c r="AF231"/>
  <c r="AE231"/>
  <c r="AD231"/>
  <c r="AC231"/>
  <c r="AB231"/>
  <c r="AA231"/>
  <c r="Z231"/>
  <c r="Y231"/>
  <c r="X231"/>
  <c r="W231"/>
  <c r="V231"/>
  <c r="U231"/>
  <c r="T231"/>
  <c r="S231"/>
  <c r="K231"/>
  <c r="J231"/>
  <c r="R231" s="1"/>
  <c r="H231"/>
  <c r="F231"/>
  <c r="AK230"/>
  <c r="AJ230"/>
  <c r="AI230"/>
  <c r="AH230"/>
  <c r="AG230"/>
  <c r="AF230"/>
  <c r="AE230"/>
  <c r="AD230"/>
  <c r="AC230"/>
  <c r="AB230"/>
  <c r="AA230"/>
  <c r="Z230"/>
  <c r="Y230"/>
  <c r="X230"/>
  <c r="W230"/>
  <c r="V230"/>
  <c r="U230"/>
  <c r="T230"/>
  <c r="S230"/>
  <c r="K230"/>
  <c r="J230"/>
  <c r="R230" s="1"/>
  <c r="H230"/>
  <c r="F230"/>
  <c r="AK229"/>
  <c r="AJ229"/>
  <c r="AI229"/>
  <c r="AH229"/>
  <c r="AG229"/>
  <c r="AF229"/>
  <c r="AE229"/>
  <c r="AD229"/>
  <c r="AC229"/>
  <c r="AB229"/>
  <c r="AA229"/>
  <c r="Z229"/>
  <c r="Y229"/>
  <c r="X229"/>
  <c r="W229"/>
  <c r="V229"/>
  <c r="U229"/>
  <c r="T229"/>
  <c r="S229"/>
  <c r="K229"/>
  <c r="J229"/>
  <c r="R229" s="1"/>
  <c r="H229"/>
  <c r="F229"/>
  <c r="AK228"/>
  <c r="AJ228"/>
  <c r="AI228"/>
  <c r="AH228"/>
  <c r="AG228"/>
  <c r="AF228"/>
  <c r="AE228"/>
  <c r="AD228"/>
  <c r="AC228"/>
  <c r="AB228"/>
  <c r="AA228"/>
  <c r="Z228"/>
  <c r="Y228"/>
  <c r="X228"/>
  <c r="W228"/>
  <c r="V228"/>
  <c r="U228"/>
  <c r="T228"/>
  <c r="S228"/>
  <c r="R228"/>
  <c r="K228"/>
  <c r="F228"/>
  <c r="L228" s="1"/>
  <c r="B228"/>
  <c r="AK227"/>
  <c r="AJ227"/>
  <c r="AI227"/>
  <c r="AH227"/>
  <c r="AG227"/>
  <c r="AF227"/>
  <c r="AE227"/>
  <c r="AD227"/>
  <c r="AC227"/>
  <c r="AB227"/>
  <c r="AA227"/>
  <c r="Z227"/>
  <c r="Y227"/>
  <c r="X227"/>
  <c r="W227"/>
  <c r="V227"/>
  <c r="U227"/>
  <c r="T227"/>
  <c r="S227"/>
  <c r="K227"/>
  <c r="D227"/>
  <c r="H227" s="1"/>
  <c r="AL225"/>
  <c r="AK206"/>
  <c r="AJ206"/>
  <c r="AI206"/>
  <c r="AH206"/>
  <c r="AG206"/>
  <c r="AF206"/>
  <c r="AE206"/>
  <c r="AD206"/>
  <c r="AC206"/>
  <c r="AB206"/>
  <c r="AA206"/>
  <c r="Z206"/>
  <c r="Y206"/>
  <c r="X206"/>
  <c r="W206"/>
  <c r="V206"/>
  <c r="U206"/>
  <c r="T206"/>
  <c r="S206"/>
  <c r="R206"/>
  <c r="K206"/>
  <c r="F206"/>
  <c r="L206" s="1"/>
  <c r="B206"/>
  <c r="AK205"/>
  <c r="AJ205"/>
  <c r="AI205"/>
  <c r="AH205"/>
  <c r="AG205"/>
  <c r="AF205"/>
  <c r="AE205"/>
  <c r="AD205"/>
  <c r="AC205"/>
  <c r="AB205"/>
  <c r="AA205"/>
  <c r="Z205"/>
  <c r="Y205"/>
  <c r="X205"/>
  <c r="W205"/>
  <c r="V205"/>
  <c r="U205"/>
  <c r="T205"/>
  <c r="S205"/>
  <c r="K205"/>
  <c r="D205"/>
  <c r="F205" s="1"/>
  <c r="AK204"/>
  <c r="AJ204"/>
  <c r="AI204"/>
  <c r="AH204"/>
  <c r="AG204"/>
  <c r="AF204"/>
  <c r="AE204"/>
  <c r="AD204"/>
  <c r="AC204"/>
  <c r="AB204"/>
  <c r="AA204"/>
  <c r="Z204"/>
  <c r="Y204"/>
  <c r="X204"/>
  <c r="W204"/>
  <c r="V204"/>
  <c r="U204"/>
  <c r="T204"/>
  <c r="S204"/>
  <c r="K204"/>
  <c r="D204"/>
  <c r="J204" s="1"/>
  <c r="R204" s="1"/>
  <c r="AK203"/>
  <c r="AJ203"/>
  <c r="AI203"/>
  <c r="AH203"/>
  <c r="AG203"/>
  <c r="AF203"/>
  <c r="AE203"/>
  <c r="AD203"/>
  <c r="AC203"/>
  <c r="AB203"/>
  <c r="AA203"/>
  <c r="Z203"/>
  <c r="Y203"/>
  <c r="X203"/>
  <c r="W203"/>
  <c r="V203"/>
  <c r="U203"/>
  <c r="T203"/>
  <c r="S203"/>
  <c r="K203"/>
  <c r="D203"/>
  <c r="F203" s="1"/>
  <c r="AK202"/>
  <c r="AJ202"/>
  <c r="AI202"/>
  <c r="AH202"/>
  <c r="AG202"/>
  <c r="AF202"/>
  <c r="AE202"/>
  <c r="AD202"/>
  <c r="AC202"/>
  <c r="AB202"/>
  <c r="AA202"/>
  <c r="Z202"/>
  <c r="Y202"/>
  <c r="X202"/>
  <c r="W202"/>
  <c r="V202"/>
  <c r="U202"/>
  <c r="T202"/>
  <c r="S202"/>
  <c r="K202"/>
  <c r="D202"/>
  <c r="J202" s="1"/>
  <c r="R202" s="1"/>
  <c r="AK201"/>
  <c r="AJ201"/>
  <c r="AI201"/>
  <c r="AH201"/>
  <c r="AG201"/>
  <c r="AF201"/>
  <c r="AE201"/>
  <c r="AD201"/>
  <c r="AC201"/>
  <c r="AB201"/>
  <c r="AA201"/>
  <c r="Z201"/>
  <c r="Y201"/>
  <c r="X201"/>
  <c r="W201"/>
  <c r="V201"/>
  <c r="U201"/>
  <c r="T201"/>
  <c r="S201"/>
  <c r="K201"/>
  <c r="D201"/>
  <c r="F201" s="1"/>
  <c r="AK200"/>
  <c r="AJ200"/>
  <c r="AI200"/>
  <c r="AH200"/>
  <c r="AG200"/>
  <c r="AF200"/>
  <c r="AE200"/>
  <c r="AD200"/>
  <c r="AC200"/>
  <c r="AB200"/>
  <c r="AA200"/>
  <c r="Z200"/>
  <c r="Y200"/>
  <c r="X200"/>
  <c r="W200"/>
  <c r="V200"/>
  <c r="U200"/>
  <c r="T200"/>
  <c r="S200"/>
  <c r="K200"/>
  <c r="D200"/>
  <c r="J200" s="1"/>
  <c r="R200" s="1"/>
  <c r="AK199"/>
  <c r="AJ199"/>
  <c r="AI199"/>
  <c r="AH199"/>
  <c r="AG199"/>
  <c r="AF199"/>
  <c r="AE199"/>
  <c r="AD199"/>
  <c r="AC199"/>
  <c r="AB199"/>
  <c r="AA199"/>
  <c r="Z199"/>
  <c r="Y199"/>
  <c r="X199"/>
  <c r="W199"/>
  <c r="V199"/>
  <c r="U199"/>
  <c r="T199"/>
  <c r="S199"/>
  <c r="K199"/>
  <c r="D199"/>
  <c r="F199" s="1"/>
  <c r="AK198"/>
  <c r="AJ198"/>
  <c r="AI198"/>
  <c r="AH198"/>
  <c r="AG198"/>
  <c r="AF198"/>
  <c r="AE198"/>
  <c r="AD198"/>
  <c r="AC198"/>
  <c r="AB198"/>
  <c r="AA198"/>
  <c r="Z198"/>
  <c r="Y198"/>
  <c r="X198"/>
  <c r="W198"/>
  <c r="V198"/>
  <c r="U198"/>
  <c r="T198"/>
  <c r="S198"/>
  <c r="K198"/>
  <c r="D198"/>
  <c r="J198" s="1"/>
  <c r="R198" s="1"/>
  <c r="AK197"/>
  <c r="AJ197"/>
  <c r="AI197"/>
  <c r="AH197"/>
  <c r="AG197"/>
  <c r="AF197"/>
  <c r="AE197"/>
  <c r="AD197"/>
  <c r="AC197"/>
  <c r="AB197"/>
  <c r="AA197"/>
  <c r="Z197"/>
  <c r="Y197"/>
  <c r="X197"/>
  <c r="W197"/>
  <c r="V197"/>
  <c r="U197"/>
  <c r="T197"/>
  <c r="S197"/>
  <c r="K197"/>
  <c r="D197"/>
  <c r="F197" s="1"/>
  <c r="AK196"/>
  <c r="AJ196"/>
  <c r="AI196"/>
  <c r="AH196"/>
  <c r="AG196"/>
  <c r="AF196"/>
  <c r="AE196"/>
  <c r="AD196"/>
  <c r="AC196"/>
  <c r="AB196"/>
  <c r="AA196"/>
  <c r="Z196"/>
  <c r="Y196"/>
  <c r="X196"/>
  <c r="W196"/>
  <c r="V196"/>
  <c r="U196"/>
  <c r="T196"/>
  <c r="S196"/>
  <c r="K196"/>
  <c r="D196"/>
  <c r="J196" s="1"/>
  <c r="R196" s="1"/>
  <c r="AK195"/>
  <c r="AJ195"/>
  <c r="AI195"/>
  <c r="AH195"/>
  <c r="AG195"/>
  <c r="AF195"/>
  <c r="AE195"/>
  <c r="AD195"/>
  <c r="AC195"/>
  <c r="AB195"/>
  <c r="AA195"/>
  <c r="Z195"/>
  <c r="Y195"/>
  <c r="X195"/>
  <c r="W195"/>
  <c r="V195"/>
  <c r="U195"/>
  <c r="T195"/>
  <c r="S195"/>
  <c r="K195"/>
  <c r="D195"/>
  <c r="F195" s="1"/>
  <c r="AK194"/>
  <c r="AJ194"/>
  <c r="AI194"/>
  <c r="AH194"/>
  <c r="AG194"/>
  <c r="AF194"/>
  <c r="AE194"/>
  <c r="AD194"/>
  <c r="AC194"/>
  <c r="AB194"/>
  <c r="AA194"/>
  <c r="Z194"/>
  <c r="Y194"/>
  <c r="X194"/>
  <c r="W194"/>
  <c r="V194"/>
  <c r="U194"/>
  <c r="T194"/>
  <c r="S194"/>
  <c r="K194"/>
  <c r="J194"/>
  <c r="R194" s="1"/>
  <c r="H194"/>
  <c r="F194"/>
  <c r="AK193"/>
  <c r="AJ193"/>
  <c r="AI193"/>
  <c r="AH193"/>
  <c r="AG193"/>
  <c r="AF193"/>
  <c r="AE193"/>
  <c r="AD193"/>
  <c r="AC193"/>
  <c r="AB193"/>
  <c r="AA193"/>
  <c r="Z193"/>
  <c r="Y193"/>
  <c r="X193"/>
  <c r="W193"/>
  <c r="V193"/>
  <c r="U193"/>
  <c r="T193"/>
  <c r="S193"/>
  <c r="R193"/>
  <c r="K193"/>
  <c r="F193"/>
  <c r="L193" s="1"/>
  <c r="B193"/>
  <c r="AK192"/>
  <c r="AJ192"/>
  <c r="AI192"/>
  <c r="AH192"/>
  <c r="AG192"/>
  <c r="AF192"/>
  <c r="AE192"/>
  <c r="AD192"/>
  <c r="AC192"/>
  <c r="AB192"/>
  <c r="AA192"/>
  <c r="Z192"/>
  <c r="Y192"/>
  <c r="X192"/>
  <c r="W192"/>
  <c r="V192"/>
  <c r="U192"/>
  <c r="T192"/>
  <c r="S192"/>
  <c r="K192"/>
  <c r="J192"/>
  <c r="R192" s="1"/>
  <c r="H192"/>
  <c r="F192"/>
  <c r="AK191"/>
  <c r="AJ191"/>
  <c r="AI191"/>
  <c r="AH191"/>
  <c r="AG191"/>
  <c r="AF191"/>
  <c r="AE191"/>
  <c r="AD191"/>
  <c r="AC191"/>
  <c r="AB191"/>
  <c r="AA191"/>
  <c r="Z191"/>
  <c r="Y191"/>
  <c r="X191"/>
  <c r="W191"/>
  <c r="V191"/>
  <c r="U191"/>
  <c r="T191"/>
  <c r="S191"/>
  <c r="K191"/>
  <c r="D191"/>
  <c r="F191" s="1"/>
  <c r="AK190"/>
  <c r="AJ190"/>
  <c r="AI190"/>
  <c r="AH190"/>
  <c r="AG190"/>
  <c r="AF190"/>
  <c r="AE190"/>
  <c r="AD190"/>
  <c r="AC190"/>
  <c r="AB190"/>
  <c r="AA190"/>
  <c r="Z190"/>
  <c r="Y190"/>
  <c r="X190"/>
  <c r="W190"/>
  <c r="V190"/>
  <c r="U190"/>
  <c r="T190"/>
  <c r="S190"/>
  <c r="K190"/>
  <c r="D190"/>
  <c r="J190" s="1"/>
  <c r="R190" s="1"/>
  <c r="AK189"/>
  <c r="AJ189"/>
  <c r="AI189"/>
  <c r="AH189"/>
  <c r="AG189"/>
  <c r="AF189"/>
  <c r="AE189"/>
  <c r="AD189"/>
  <c r="AC189"/>
  <c r="AB189"/>
  <c r="AA189"/>
  <c r="Z189"/>
  <c r="Y189"/>
  <c r="X189"/>
  <c r="W189"/>
  <c r="V189"/>
  <c r="U189"/>
  <c r="T189"/>
  <c r="S189"/>
  <c r="K189"/>
  <c r="D189"/>
  <c r="F189" s="1"/>
  <c r="AK188"/>
  <c r="AJ188"/>
  <c r="AI188"/>
  <c r="AH188"/>
  <c r="AG188"/>
  <c r="AF188"/>
  <c r="AE188"/>
  <c r="AD188"/>
  <c r="AC188"/>
  <c r="AB188"/>
  <c r="AA188"/>
  <c r="Z188"/>
  <c r="Y188"/>
  <c r="X188"/>
  <c r="W188"/>
  <c r="V188"/>
  <c r="U188"/>
  <c r="T188"/>
  <c r="S188"/>
  <c r="K188"/>
  <c r="D188"/>
  <c r="J188" s="1"/>
  <c r="AK187"/>
  <c r="AJ187"/>
  <c r="AI187"/>
  <c r="AH187"/>
  <c r="AG187"/>
  <c r="AF187"/>
  <c r="AE187"/>
  <c r="AD187"/>
  <c r="AC187"/>
  <c r="AB187"/>
  <c r="AA187"/>
  <c r="Z187"/>
  <c r="Y187"/>
  <c r="X187"/>
  <c r="W187"/>
  <c r="V187"/>
  <c r="U187"/>
  <c r="T187"/>
  <c r="S187"/>
  <c r="K187"/>
  <c r="J187"/>
  <c r="R187" s="1"/>
  <c r="H187"/>
  <c r="F187"/>
  <c r="L255" l="1"/>
  <c r="H200"/>
  <c r="J239"/>
  <c r="R239" s="1"/>
  <c r="H196"/>
  <c r="H198"/>
  <c r="H204"/>
  <c r="H241"/>
  <c r="L241" s="1"/>
  <c r="L249"/>
  <c r="H252"/>
  <c r="F253"/>
  <c r="F265" s="1"/>
  <c r="E16" i="13" s="1"/>
  <c r="F259" i="12"/>
  <c r="J241"/>
  <c r="R241" s="1"/>
  <c r="T225"/>
  <c r="X225"/>
  <c r="AB225"/>
  <c r="AF225"/>
  <c r="AJ225"/>
  <c r="H188"/>
  <c r="H190"/>
  <c r="L194"/>
  <c r="H233"/>
  <c r="U265"/>
  <c r="Y265"/>
  <c r="AC265"/>
  <c r="AG265"/>
  <c r="AK265"/>
  <c r="S225"/>
  <c r="W225"/>
  <c r="AA225"/>
  <c r="AE225"/>
  <c r="AI225"/>
  <c r="F188"/>
  <c r="F190"/>
  <c r="H202"/>
  <c r="F233"/>
  <c r="L187"/>
  <c r="X265"/>
  <c r="AF265"/>
  <c r="L250"/>
  <c r="V265"/>
  <c r="AD265"/>
  <c r="L251"/>
  <c r="V225"/>
  <c r="Z225"/>
  <c r="AD225"/>
  <c r="AH225"/>
  <c r="L192"/>
  <c r="F196"/>
  <c r="L196" s="1"/>
  <c r="F198"/>
  <c r="F200"/>
  <c r="L200" s="1"/>
  <c r="F202"/>
  <c r="F204"/>
  <c r="F227"/>
  <c r="U245"/>
  <c r="Y245"/>
  <c r="AC245"/>
  <c r="AG245"/>
  <c r="AK245"/>
  <c r="L230"/>
  <c r="S245"/>
  <c r="W245"/>
  <c r="AA245"/>
  <c r="AE245"/>
  <c r="AI245"/>
  <c r="H239"/>
  <c r="L239" s="1"/>
  <c r="S265"/>
  <c r="W265"/>
  <c r="AA265"/>
  <c r="AE265"/>
  <c r="AI265"/>
  <c r="L257"/>
  <c r="J259"/>
  <c r="R259" s="1"/>
  <c r="L229"/>
  <c r="L234"/>
  <c r="T265"/>
  <c r="AB265"/>
  <c r="AJ265"/>
  <c r="Z265"/>
  <c r="AH265"/>
  <c r="L256"/>
  <c r="U225"/>
  <c r="Y225"/>
  <c r="AC225"/>
  <c r="AG225"/>
  <c r="AK225"/>
  <c r="T245"/>
  <c r="X245"/>
  <c r="AB245"/>
  <c r="AF245"/>
  <c r="AJ245"/>
  <c r="V245"/>
  <c r="Z245"/>
  <c r="AD245"/>
  <c r="AH245"/>
  <c r="L231"/>
  <c r="J235"/>
  <c r="R235" s="1"/>
  <c r="L237"/>
  <c r="L238"/>
  <c r="F240"/>
  <c r="L247"/>
  <c r="L248"/>
  <c r="J252"/>
  <c r="R252" s="1"/>
  <c r="R188"/>
  <c r="J189"/>
  <c r="R189" s="1"/>
  <c r="J195"/>
  <c r="R195" s="1"/>
  <c r="J197"/>
  <c r="R197" s="1"/>
  <c r="J199"/>
  <c r="R199" s="1"/>
  <c r="J201"/>
  <c r="R201" s="1"/>
  <c r="J232"/>
  <c r="R232" s="1"/>
  <c r="J258"/>
  <c r="R258" s="1"/>
  <c r="H189"/>
  <c r="H191"/>
  <c r="H195"/>
  <c r="L195" s="1"/>
  <c r="H197"/>
  <c r="H199"/>
  <c r="H201"/>
  <c r="H203"/>
  <c r="H205"/>
  <c r="J227"/>
  <c r="H232"/>
  <c r="J240"/>
  <c r="R240" s="1"/>
  <c r="J253"/>
  <c r="R253" s="1"/>
  <c r="H258"/>
  <c r="J191"/>
  <c r="R191" s="1"/>
  <c r="J203"/>
  <c r="R203" s="1"/>
  <c r="J205"/>
  <c r="R205" s="1"/>
  <c r="F245" l="1"/>
  <c r="E15" i="13" s="1"/>
  <c r="L233" i="12"/>
  <c r="L190"/>
  <c r="L240"/>
  <c r="L204"/>
  <c r="H245"/>
  <c r="G15" i="13" s="1"/>
  <c r="L188" i="12"/>
  <c r="L198"/>
  <c r="L203"/>
  <c r="R265"/>
  <c r="F225"/>
  <c r="E14" i="13" s="1"/>
  <c r="L199" i="12"/>
  <c r="L197"/>
  <c r="L202"/>
  <c r="H225"/>
  <c r="L259"/>
  <c r="L201"/>
  <c r="L191"/>
  <c r="R225"/>
  <c r="L189"/>
  <c r="L205"/>
  <c r="L252"/>
  <c r="J265"/>
  <c r="I16" i="13" s="1"/>
  <c r="L235" i="12"/>
  <c r="J245"/>
  <c r="I15" i="13" s="1"/>
  <c r="R227" i="12"/>
  <c r="R245" s="1"/>
  <c r="L232"/>
  <c r="J225"/>
  <c r="I14" i="13" s="1"/>
  <c r="L227" i="12"/>
  <c r="H265"/>
  <c r="G16" i="13" s="1"/>
  <c r="L253" i="12"/>
  <c r="L245" l="1"/>
  <c r="L265"/>
  <c r="L225"/>
  <c r="G14" i="13"/>
  <c r="K151" i="12"/>
  <c r="E34" i="15"/>
  <c r="H32"/>
  <c r="H31"/>
  <c r="D149" i="12"/>
  <c r="D151"/>
  <c r="J151" s="1"/>
  <c r="R151" s="1"/>
  <c r="D150"/>
  <c r="J150" s="1"/>
  <c r="R150" s="1"/>
  <c r="AK151"/>
  <c r="AJ151"/>
  <c r="AI151"/>
  <c r="AH151"/>
  <c r="AG151"/>
  <c r="AF151"/>
  <c r="AE151"/>
  <c r="AD151"/>
  <c r="AC151"/>
  <c r="AB151"/>
  <c r="AA151"/>
  <c r="Z151"/>
  <c r="Y151"/>
  <c r="X151"/>
  <c r="W151"/>
  <c r="V151"/>
  <c r="U151"/>
  <c r="T151"/>
  <c r="S151"/>
  <c r="AK150"/>
  <c r="AJ150"/>
  <c r="AI150"/>
  <c r="AH150"/>
  <c r="AG150"/>
  <c r="AF150"/>
  <c r="AE150"/>
  <c r="AD150"/>
  <c r="AC150"/>
  <c r="AB150"/>
  <c r="AA150"/>
  <c r="Z150"/>
  <c r="Y150"/>
  <c r="X150"/>
  <c r="W150"/>
  <c r="V150"/>
  <c r="U150"/>
  <c r="T150"/>
  <c r="S150"/>
  <c r="H150"/>
  <c r="K150"/>
  <c r="K13" i="15"/>
  <c r="K29"/>
  <c r="I4"/>
  <c r="K4" s="1"/>
  <c r="I5"/>
  <c r="K5" s="1"/>
  <c r="I6"/>
  <c r="K6" s="1"/>
  <c r="I7"/>
  <c r="K7" s="1"/>
  <c r="I8"/>
  <c r="K8" s="1"/>
  <c r="I10"/>
  <c r="K10" s="1"/>
  <c r="I11"/>
  <c r="K11" s="1"/>
  <c r="I12"/>
  <c r="K12" s="1"/>
  <c r="I13"/>
  <c r="I14"/>
  <c r="K14" s="1"/>
  <c r="I15"/>
  <c r="K15" s="1"/>
  <c r="I16"/>
  <c r="K16" s="1"/>
  <c r="I17"/>
  <c r="K17" s="1"/>
  <c r="I18"/>
  <c r="K18" s="1"/>
  <c r="I19"/>
  <c r="K19" s="1"/>
  <c r="I20"/>
  <c r="K20" s="1"/>
  <c r="I21"/>
  <c r="K21" s="1"/>
  <c r="I22"/>
  <c r="K22" s="1"/>
  <c r="I23"/>
  <c r="K23" s="1"/>
  <c r="I24"/>
  <c r="K24" s="1"/>
  <c r="I25"/>
  <c r="K25" s="1"/>
  <c r="I26"/>
  <c r="K26" s="1"/>
  <c r="I27"/>
  <c r="K27" s="1"/>
  <c r="I28"/>
  <c r="K28" s="1"/>
  <c r="I29"/>
  <c r="I30"/>
  <c r="K30" s="1"/>
  <c r="I3"/>
  <c r="K3" s="1"/>
  <c r="E31"/>
  <c r="E32" s="1"/>
  <c r="E33" s="1"/>
  <c r="F31"/>
  <c r="F32" s="1"/>
  <c r="F33" s="1"/>
  <c r="G31"/>
  <c r="G32" s="1"/>
  <c r="G33" s="1"/>
  <c r="D31"/>
  <c r="D32" s="1"/>
  <c r="D33" s="1"/>
  <c r="D148" i="12" s="1"/>
  <c r="D136"/>
  <c r="D135" s="1"/>
  <c r="D168"/>
  <c r="D138"/>
  <c r="D8" l="1"/>
  <c r="I32" i="15"/>
  <c r="I33" s="1"/>
  <c r="H151" i="12"/>
  <c r="F151"/>
  <c r="F150"/>
  <c r="L150" s="1"/>
  <c r="D95"/>
  <c r="I269"/>
  <c r="J269" s="1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J7"/>
  <c r="R7" s="1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E244" i="10"/>
  <c r="K244" s="1"/>
  <c r="J168" i="12"/>
  <c r="R168" s="1"/>
  <c r="D172"/>
  <c r="J172" s="1"/>
  <c r="R172" s="1"/>
  <c r="J137"/>
  <c r="R137" s="1"/>
  <c r="D24" i="14"/>
  <c r="D21"/>
  <c r="D20"/>
  <c r="D17"/>
  <c r="D16"/>
  <c r="D15"/>
  <c r="D14"/>
  <c r="D13"/>
  <c r="D10"/>
  <c r="AL285" i="12"/>
  <c r="AL17" i="13" s="1"/>
  <c r="R268" i="12"/>
  <c r="S268"/>
  <c r="T268"/>
  <c r="U268"/>
  <c r="V268"/>
  <c r="W268"/>
  <c r="Y268"/>
  <c r="Z268"/>
  <c r="AA268"/>
  <c r="AB268"/>
  <c r="AC268"/>
  <c r="AD268"/>
  <c r="AE268"/>
  <c r="AF268"/>
  <c r="AG268"/>
  <c r="AH268"/>
  <c r="AI268"/>
  <c r="AJ268"/>
  <c r="AK268"/>
  <c r="F267"/>
  <c r="H267"/>
  <c r="K267"/>
  <c r="R267"/>
  <c r="S267"/>
  <c r="T267"/>
  <c r="U267"/>
  <c r="V267"/>
  <c r="W267"/>
  <c r="Y267"/>
  <c r="Z267"/>
  <c r="AA267"/>
  <c r="AB267"/>
  <c r="AC267"/>
  <c r="AD267"/>
  <c r="AE267"/>
  <c r="AF267"/>
  <c r="AG267"/>
  <c r="AH267"/>
  <c r="AI267"/>
  <c r="AJ267"/>
  <c r="AK267"/>
  <c r="AL16" i="13"/>
  <c r="AL15"/>
  <c r="AL14"/>
  <c r="AL185" i="12"/>
  <c r="AL13" i="13" s="1"/>
  <c r="F173" i="12"/>
  <c r="J173"/>
  <c r="R173" s="1"/>
  <c r="S173"/>
  <c r="T173"/>
  <c r="U173"/>
  <c r="V173"/>
  <c r="W173"/>
  <c r="X173"/>
  <c r="Y173"/>
  <c r="Z173"/>
  <c r="AA173"/>
  <c r="AB173"/>
  <c r="AC173"/>
  <c r="AD173"/>
  <c r="AE173"/>
  <c r="AF173"/>
  <c r="AG173"/>
  <c r="AH173"/>
  <c r="AI173"/>
  <c r="AJ173"/>
  <c r="AK173"/>
  <c r="S172"/>
  <c r="T172"/>
  <c r="U172"/>
  <c r="V172"/>
  <c r="W172"/>
  <c r="X172"/>
  <c r="Y172"/>
  <c r="Z172"/>
  <c r="AA172"/>
  <c r="AB172"/>
  <c r="AC172"/>
  <c r="AD172"/>
  <c r="AE172"/>
  <c r="AF172"/>
  <c r="AG172"/>
  <c r="AH172"/>
  <c r="AI172"/>
  <c r="AJ172"/>
  <c r="AK172"/>
  <c r="F171"/>
  <c r="J171"/>
  <c r="R171" s="1"/>
  <c r="S171"/>
  <c r="T171"/>
  <c r="U171"/>
  <c r="V171"/>
  <c r="W171"/>
  <c r="X171"/>
  <c r="Y171"/>
  <c r="Z171"/>
  <c r="AA171"/>
  <c r="AB171"/>
  <c r="AC171"/>
  <c r="AD171"/>
  <c r="AE171"/>
  <c r="AF171"/>
  <c r="AG171"/>
  <c r="AH171"/>
  <c r="AI171"/>
  <c r="AJ171"/>
  <c r="AK171"/>
  <c r="F170"/>
  <c r="J170"/>
  <c r="R170" s="1"/>
  <c r="S170"/>
  <c r="T170"/>
  <c r="U170"/>
  <c r="V170"/>
  <c r="W170"/>
  <c r="X170"/>
  <c r="Y170"/>
  <c r="Z170"/>
  <c r="AA170"/>
  <c r="AB170"/>
  <c r="AC170"/>
  <c r="AD170"/>
  <c r="AE170"/>
  <c r="AF170"/>
  <c r="AG170"/>
  <c r="AH170"/>
  <c r="AI170"/>
  <c r="AJ170"/>
  <c r="AK170"/>
  <c r="F169"/>
  <c r="J169"/>
  <c r="R169" s="1"/>
  <c r="S169"/>
  <c r="T169"/>
  <c r="U169"/>
  <c r="V169"/>
  <c r="W169"/>
  <c r="X169"/>
  <c r="Y169"/>
  <c r="Z169"/>
  <c r="AA169"/>
  <c r="AB169"/>
  <c r="AC169"/>
  <c r="AD169"/>
  <c r="AE169"/>
  <c r="AF169"/>
  <c r="AG169"/>
  <c r="AH169"/>
  <c r="AI169"/>
  <c r="AJ169"/>
  <c r="AK169"/>
  <c r="F168"/>
  <c r="S168"/>
  <c r="T168"/>
  <c r="U168"/>
  <c r="V168"/>
  <c r="W168"/>
  <c r="X168"/>
  <c r="Y168"/>
  <c r="Z168"/>
  <c r="AA168"/>
  <c r="AB168"/>
  <c r="AC168"/>
  <c r="AD168"/>
  <c r="AE168"/>
  <c r="AF168"/>
  <c r="AG168"/>
  <c r="AH168"/>
  <c r="AI168"/>
  <c r="AJ168"/>
  <c r="AK168"/>
  <c r="F167"/>
  <c r="J167"/>
  <c r="R167" s="1"/>
  <c r="S167"/>
  <c r="T167"/>
  <c r="U167"/>
  <c r="V167"/>
  <c r="W167"/>
  <c r="X167"/>
  <c r="Y167"/>
  <c r="Z167"/>
  <c r="AA167"/>
  <c r="AB167"/>
  <c r="AC167"/>
  <c r="AD167"/>
  <c r="AE167"/>
  <c r="AF167"/>
  <c r="AG167"/>
  <c r="AH167"/>
  <c r="AI167"/>
  <c r="AJ167"/>
  <c r="AK167"/>
  <c r="AL165"/>
  <c r="AL12" i="13" s="1"/>
  <c r="S159" i="12"/>
  <c r="T159"/>
  <c r="U159"/>
  <c r="V159"/>
  <c r="W159"/>
  <c r="X159"/>
  <c r="Y159"/>
  <c r="Z159"/>
  <c r="AA159"/>
  <c r="AB159"/>
  <c r="AC159"/>
  <c r="AD159"/>
  <c r="AE159"/>
  <c r="AF159"/>
  <c r="AG159"/>
  <c r="AH159"/>
  <c r="AI159"/>
  <c r="AJ159"/>
  <c r="AK159"/>
  <c r="J158"/>
  <c r="R158" s="1"/>
  <c r="S158"/>
  <c r="T158"/>
  <c r="U158"/>
  <c r="V158"/>
  <c r="W158"/>
  <c r="X158"/>
  <c r="Y158"/>
  <c r="Z158"/>
  <c r="AA158"/>
  <c r="AB158"/>
  <c r="AC158"/>
  <c r="AD158"/>
  <c r="AE158"/>
  <c r="AF158"/>
  <c r="AG158"/>
  <c r="AH158"/>
  <c r="AI158"/>
  <c r="AJ158"/>
  <c r="AK158"/>
  <c r="J157"/>
  <c r="R157" s="1"/>
  <c r="S157"/>
  <c r="T157"/>
  <c r="U157"/>
  <c r="V157"/>
  <c r="W157"/>
  <c r="X157"/>
  <c r="Y157"/>
  <c r="Z157"/>
  <c r="AA157"/>
  <c r="AB157"/>
  <c r="AC157"/>
  <c r="AD157"/>
  <c r="AE157"/>
  <c r="AF157"/>
  <c r="AG157"/>
  <c r="AH157"/>
  <c r="AI157"/>
  <c r="AJ157"/>
  <c r="AK157"/>
  <c r="J156"/>
  <c r="R156" s="1"/>
  <c r="S156"/>
  <c r="T156"/>
  <c r="U156"/>
  <c r="V156"/>
  <c r="W156"/>
  <c r="X156"/>
  <c r="Y156"/>
  <c r="Z156"/>
  <c r="AA156"/>
  <c r="AB156"/>
  <c r="AC156"/>
  <c r="AD156"/>
  <c r="AE156"/>
  <c r="AF156"/>
  <c r="AG156"/>
  <c r="AH156"/>
  <c r="AI156"/>
  <c r="AJ156"/>
  <c r="AK156"/>
  <c r="J155"/>
  <c r="R155" s="1"/>
  <c r="S155"/>
  <c r="T155"/>
  <c r="U155"/>
  <c r="V155"/>
  <c r="W155"/>
  <c r="X155"/>
  <c r="Y155"/>
  <c r="Z155"/>
  <c r="AA155"/>
  <c r="AB155"/>
  <c r="AC155"/>
  <c r="AD155"/>
  <c r="AE155"/>
  <c r="AF155"/>
  <c r="AG155"/>
  <c r="AH155"/>
  <c r="AI155"/>
  <c r="AJ155"/>
  <c r="AK155"/>
  <c r="J154"/>
  <c r="R154" s="1"/>
  <c r="S154"/>
  <c r="T154"/>
  <c r="U154"/>
  <c r="V154"/>
  <c r="W154"/>
  <c r="X154"/>
  <c r="Y154"/>
  <c r="Z154"/>
  <c r="AA154"/>
  <c r="AB154"/>
  <c r="AC154"/>
  <c r="AD154"/>
  <c r="AE154"/>
  <c r="AF154"/>
  <c r="AG154"/>
  <c r="AH154"/>
  <c r="AI154"/>
  <c r="AJ154"/>
  <c r="AK154"/>
  <c r="H153"/>
  <c r="J153"/>
  <c r="R153" s="1"/>
  <c r="S153"/>
  <c r="T153"/>
  <c r="U153"/>
  <c r="V153"/>
  <c r="W153"/>
  <c r="X153"/>
  <c r="Y153"/>
  <c r="Z153"/>
  <c r="AA153"/>
  <c r="AB153"/>
  <c r="AC153"/>
  <c r="AD153"/>
  <c r="AE153"/>
  <c r="AF153"/>
  <c r="AG153"/>
  <c r="AH153"/>
  <c r="AI153"/>
  <c r="AJ153"/>
  <c r="AK153"/>
  <c r="J152"/>
  <c r="R152" s="1"/>
  <c r="S152"/>
  <c r="T152"/>
  <c r="U152"/>
  <c r="V152"/>
  <c r="W152"/>
  <c r="X152"/>
  <c r="Y152"/>
  <c r="Z152"/>
  <c r="AA152"/>
  <c r="AB152"/>
  <c r="AC152"/>
  <c r="AD152"/>
  <c r="AE152"/>
  <c r="AF152"/>
  <c r="AG152"/>
  <c r="AH152"/>
  <c r="AI152"/>
  <c r="AJ152"/>
  <c r="AK152"/>
  <c r="F149"/>
  <c r="H149"/>
  <c r="J149"/>
  <c r="R149" s="1"/>
  <c r="S149"/>
  <c r="T149"/>
  <c r="U149"/>
  <c r="V149"/>
  <c r="W149"/>
  <c r="X149"/>
  <c r="Y149"/>
  <c r="Z149"/>
  <c r="AA149"/>
  <c r="AB149"/>
  <c r="AC149"/>
  <c r="AD149"/>
  <c r="AE149"/>
  <c r="AF149"/>
  <c r="AG149"/>
  <c r="AH149"/>
  <c r="AI149"/>
  <c r="AJ149"/>
  <c r="AK149"/>
  <c r="F148"/>
  <c r="H148"/>
  <c r="J148"/>
  <c r="S148"/>
  <c r="T148"/>
  <c r="U148"/>
  <c r="V148"/>
  <c r="W148"/>
  <c r="X148"/>
  <c r="Y148"/>
  <c r="Z148"/>
  <c r="AA148"/>
  <c r="AB148"/>
  <c r="AC148"/>
  <c r="AD148"/>
  <c r="AE148"/>
  <c r="AF148"/>
  <c r="AG148"/>
  <c r="AH148"/>
  <c r="AI148"/>
  <c r="AJ148"/>
  <c r="AK148"/>
  <c r="J147"/>
  <c r="R147" s="1"/>
  <c r="S147"/>
  <c r="T147"/>
  <c r="U147"/>
  <c r="V147"/>
  <c r="W147"/>
  <c r="X147"/>
  <c r="Y147"/>
  <c r="Z147"/>
  <c r="AA147"/>
  <c r="AB147"/>
  <c r="AC147"/>
  <c r="AD147"/>
  <c r="AE147"/>
  <c r="AF147"/>
  <c r="AG147"/>
  <c r="AH147"/>
  <c r="AI147"/>
  <c r="AJ147"/>
  <c r="AK147"/>
  <c r="AL145"/>
  <c r="AL11" i="13" s="1"/>
  <c r="J143" i="12"/>
  <c r="R143" s="1"/>
  <c r="S143"/>
  <c r="T143"/>
  <c r="U143"/>
  <c r="V143"/>
  <c r="W143"/>
  <c r="X143"/>
  <c r="Y143"/>
  <c r="Z143"/>
  <c r="AA143"/>
  <c r="AB143"/>
  <c r="AC143"/>
  <c r="AD143"/>
  <c r="AE143"/>
  <c r="AF143"/>
  <c r="AG143"/>
  <c r="AH143"/>
  <c r="AI143"/>
  <c r="AJ143"/>
  <c r="AK143"/>
  <c r="J142"/>
  <c r="R142" s="1"/>
  <c r="S142"/>
  <c r="T142"/>
  <c r="U142"/>
  <c r="V142"/>
  <c r="W142"/>
  <c r="X142"/>
  <c r="Y142"/>
  <c r="Z142"/>
  <c r="AA142"/>
  <c r="AB142"/>
  <c r="AC142"/>
  <c r="AD142"/>
  <c r="AE142"/>
  <c r="AF142"/>
  <c r="AG142"/>
  <c r="AH142"/>
  <c r="AI142"/>
  <c r="AJ142"/>
  <c r="AK142"/>
  <c r="J141"/>
  <c r="R141" s="1"/>
  <c r="S141"/>
  <c r="T141"/>
  <c r="U141"/>
  <c r="V141"/>
  <c r="W141"/>
  <c r="X141"/>
  <c r="Y141"/>
  <c r="Z141"/>
  <c r="AA141"/>
  <c r="AB141"/>
  <c r="AC141"/>
  <c r="AD141"/>
  <c r="AE141"/>
  <c r="AF141"/>
  <c r="AG141"/>
  <c r="AH141"/>
  <c r="AI141"/>
  <c r="AJ141"/>
  <c r="AK141"/>
  <c r="J140"/>
  <c r="R140" s="1"/>
  <c r="S140"/>
  <c r="T140"/>
  <c r="U140"/>
  <c r="V140"/>
  <c r="W140"/>
  <c r="X140"/>
  <c r="Y140"/>
  <c r="Z140"/>
  <c r="AA140"/>
  <c r="AB140"/>
  <c r="AC140"/>
  <c r="AD140"/>
  <c r="AE140"/>
  <c r="AF140"/>
  <c r="AG140"/>
  <c r="AH140"/>
  <c r="AI140"/>
  <c r="AJ140"/>
  <c r="AK140"/>
  <c r="F139"/>
  <c r="H139"/>
  <c r="J139"/>
  <c r="R139" s="1"/>
  <c r="S139"/>
  <c r="T139"/>
  <c r="U139"/>
  <c r="V139"/>
  <c r="W139"/>
  <c r="X139"/>
  <c r="Y139"/>
  <c r="Z139"/>
  <c r="AA139"/>
  <c r="AB139"/>
  <c r="AC139"/>
  <c r="AD139"/>
  <c r="AE139"/>
  <c r="AF139"/>
  <c r="AG139"/>
  <c r="AH139"/>
  <c r="AI139"/>
  <c r="AJ139"/>
  <c r="AK139"/>
  <c r="J138"/>
  <c r="R138" s="1"/>
  <c r="S138"/>
  <c r="T138"/>
  <c r="U138"/>
  <c r="V138"/>
  <c r="W138"/>
  <c r="X138"/>
  <c r="Y138"/>
  <c r="Z138"/>
  <c r="AA138"/>
  <c r="AB138"/>
  <c r="AC138"/>
  <c r="AD138"/>
  <c r="AE138"/>
  <c r="AF138"/>
  <c r="AG138"/>
  <c r="AH138"/>
  <c r="AI138"/>
  <c r="AJ138"/>
  <c r="AK138"/>
  <c r="S137"/>
  <c r="T137"/>
  <c r="U137"/>
  <c r="V137"/>
  <c r="W137"/>
  <c r="X137"/>
  <c r="Y137"/>
  <c r="Z137"/>
  <c r="AA137"/>
  <c r="AB137"/>
  <c r="AC137"/>
  <c r="AD137"/>
  <c r="AE137"/>
  <c r="AF137"/>
  <c r="AG137"/>
  <c r="AH137"/>
  <c r="AI137"/>
  <c r="AJ137"/>
  <c r="AK137"/>
  <c r="J136"/>
  <c r="R136" s="1"/>
  <c r="S136"/>
  <c r="T136"/>
  <c r="U136"/>
  <c r="V136"/>
  <c r="W136"/>
  <c r="X136"/>
  <c r="Y136"/>
  <c r="Z136"/>
  <c r="AA136"/>
  <c r="AB136"/>
  <c r="AC136"/>
  <c r="AD136"/>
  <c r="AE136"/>
  <c r="AF136"/>
  <c r="AG136"/>
  <c r="AH136"/>
  <c r="AI136"/>
  <c r="AJ136"/>
  <c r="AK136"/>
  <c r="H135"/>
  <c r="J135"/>
  <c r="R135" s="1"/>
  <c r="S135"/>
  <c r="T135"/>
  <c r="U135"/>
  <c r="V135"/>
  <c r="W135"/>
  <c r="X135"/>
  <c r="Y135"/>
  <c r="Z135"/>
  <c r="AA135"/>
  <c r="AB135"/>
  <c r="AC135"/>
  <c r="AD135"/>
  <c r="AE135"/>
  <c r="AF135"/>
  <c r="AG135"/>
  <c r="AH135"/>
  <c r="AI135"/>
  <c r="AJ135"/>
  <c r="AK135"/>
  <c r="F134"/>
  <c r="H134"/>
  <c r="J134"/>
  <c r="R134" s="1"/>
  <c r="S134"/>
  <c r="T134"/>
  <c r="U134"/>
  <c r="V134"/>
  <c r="W134"/>
  <c r="X134"/>
  <c r="Y134"/>
  <c r="Z134"/>
  <c r="AA134"/>
  <c r="AB134"/>
  <c r="AC134"/>
  <c r="AD134"/>
  <c r="AE134"/>
  <c r="AF134"/>
  <c r="AG134"/>
  <c r="AH134"/>
  <c r="AI134"/>
  <c r="AJ134"/>
  <c r="AK134"/>
  <c r="J133"/>
  <c r="R133" s="1"/>
  <c r="S133"/>
  <c r="T133"/>
  <c r="U133"/>
  <c r="V133"/>
  <c r="W133"/>
  <c r="X133"/>
  <c r="Y133"/>
  <c r="Z133"/>
  <c r="AA133"/>
  <c r="AB133"/>
  <c r="AC133"/>
  <c r="AD133"/>
  <c r="AE133"/>
  <c r="AF133"/>
  <c r="AG133"/>
  <c r="AH133"/>
  <c r="AI133"/>
  <c r="AJ133"/>
  <c r="AK133"/>
  <c r="J132"/>
  <c r="R132" s="1"/>
  <c r="S132"/>
  <c r="T132"/>
  <c r="U132"/>
  <c r="V132"/>
  <c r="W132"/>
  <c r="X132"/>
  <c r="Y132"/>
  <c r="Z132"/>
  <c r="AA132"/>
  <c r="AB132"/>
  <c r="AC132"/>
  <c r="AD132"/>
  <c r="AE132"/>
  <c r="AF132"/>
  <c r="AG132"/>
  <c r="AH132"/>
  <c r="AI132"/>
  <c r="AJ132"/>
  <c r="AK132"/>
  <c r="J131"/>
  <c r="R131" s="1"/>
  <c r="S131"/>
  <c r="T131"/>
  <c r="U131"/>
  <c r="V131"/>
  <c r="W131"/>
  <c r="X131"/>
  <c r="Y131"/>
  <c r="Z131"/>
  <c r="AA131"/>
  <c r="AB131"/>
  <c r="AC131"/>
  <c r="AD131"/>
  <c r="AE131"/>
  <c r="AF131"/>
  <c r="AG131"/>
  <c r="AH131"/>
  <c r="AI131"/>
  <c r="AJ131"/>
  <c r="AK131"/>
  <c r="J130"/>
  <c r="R130" s="1"/>
  <c r="S130"/>
  <c r="T130"/>
  <c r="U130"/>
  <c r="V130"/>
  <c r="W130"/>
  <c r="X130"/>
  <c r="Y130"/>
  <c r="Z130"/>
  <c r="AA130"/>
  <c r="AB130"/>
  <c r="AC130"/>
  <c r="AD130"/>
  <c r="AE130"/>
  <c r="AF130"/>
  <c r="AG130"/>
  <c r="AH130"/>
  <c r="AI130"/>
  <c r="AJ130"/>
  <c r="AK130"/>
  <c r="J129"/>
  <c r="R129" s="1"/>
  <c r="S129"/>
  <c r="T129"/>
  <c r="U129"/>
  <c r="V129"/>
  <c r="W129"/>
  <c r="X129"/>
  <c r="Y129"/>
  <c r="Z129"/>
  <c r="AA129"/>
  <c r="AB129"/>
  <c r="AC129"/>
  <c r="AD129"/>
  <c r="AE129"/>
  <c r="AF129"/>
  <c r="AG129"/>
  <c r="AH129"/>
  <c r="AI129"/>
  <c r="AJ129"/>
  <c r="AK129"/>
  <c r="J128"/>
  <c r="R128" s="1"/>
  <c r="S128"/>
  <c r="T128"/>
  <c r="U128"/>
  <c r="V128"/>
  <c r="W128"/>
  <c r="X128"/>
  <c r="Y128"/>
  <c r="Z128"/>
  <c r="AA128"/>
  <c r="AB128"/>
  <c r="AC128"/>
  <c r="AD128"/>
  <c r="AE128"/>
  <c r="AF128"/>
  <c r="AG128"/>
  <c r="AH128"/>
  <c r="AI128"/>
  <c r="AJ128"/>
  <c r="AK128"/>
  <c r="J127"/>
  <c r="R127" s="1"/>
  <c r="S127"/>
  <c r="T127"/>
  <c r="U127"/>
  <c r="V127"/>
  <c r="W127"/>
  <c r="X127"/>
  <c r="Y127"/>
  <c r="Z127"/>
  <c r="AA127"/>
  <c r="AB127"/>
  <c r="AC127"/>
  <c r="AD127"/>
  <c r="AE127"/>
  <c r="AF127"/>
  <c r="AG127"/>
  <c r="AH127"/>
  <c r="AI127"/>
  <c r="AJ127"/>
  <c r="AK127"/>
  <c r="H126"/>
  <c r="J126"/>
  <c r="R126" s="1"/>
  <c r="S126"/>
  <c r="T126"/>
  <c r="U126"/>
  <c r="V126"/>
  <c r="W126"/>
  <c r="X126"/>
  <c r="Y126"/>
  <c r="Z126"/>
  <c r="AA126"/>
  <c r="AB126"/>
  <c r="AC126"/>
  <c r="AD126"/>
  <c r="AE126"/>
  <c r="AF126"/>
  <c r="AG126"/>
  <c r="AH126"/>
  <c r="AI126"/>
  <c r="AJ126"/>
  <c r="AK126"/>
  <c r="AL124"/>
  <c r="AL10" i="13" s="1"/>
  <c r="H108" i="12"/>
  <c r="J108"/>
  <c r="R108" s="1"/>
  <c r="S108"/>
  <c r="T108"/>
  <c r="U108"/>
  <c r="V108"/>
  <c r="W108"/>
  <c r="X108"/>
  <c r="Y108"/>
  <c r="Z108"/>
  <c r="AA108"/>
  <c r="AB108"/>
  <c r="AC108"/>
  <c r="AD108"/>
  <c r="AE108"/>
  <c r="AF108"/>
  <c r="AG108"/>
  <c r="AH108"/>
  <c r="AI108"/>
  <c r="AJ108"/>
  <c r="AK108"/>
  <c r="F107"/>
  <c r="J107"/>
  <c r="R107" s="1"/>
  <c r="S107"/>
  <c r="T107"/>
  <c r="U107"/>
  <c r="V107"/>
  <c r="W107"/>
  <c r="X107"/>
  <c r="Y107"/>
  <c r="Z107"/>
  <c r="AA107"/>
  <c r="AB107"/>
  <c r="AC107"/>
  <c r="AD107"/>
  <c r="AE107"/>
  <c r="AF107"/>
  <c r="AG107"/>
  <c r="AH107"/>
  <c r="AI107"/>
  <c r="AJ107"/>
  <c r="AK107"/>
  <c r="H106"/>
  <c r="J106"/>
  <c r="R106" s="1"/>
  <c r="S106"/>
  <c r="T106"/>
  <c r="U106"/>
  <c r="V106"/>
  <c r="W106"/>
  <c r="X106"/>
  <c r="Y106"/>
  <c r="Z106"/>
  <c r="AA106"/>
  <c r="AB106"/>
  <c r="AC106"/>
  <c r="AD106"/>
  <c r="AE106"/>
  <c r="AF106"/>
  <c r="AG106"/>
  <c r="AH106"/>
  <c r="AI106"/>
  <c r="AJ106"/>
  <c r="AK106"/>
  <c r="AL104"/>
  <c r="AL9" i="13" s="1"/>
  <c r="S94" i="12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J93"/>
  <c r="R93" s="1"/>
  <c r="S93"/>
  <c r="T93"/>
  <c r="U93"/>
  <c r="V93"/>
  <c r="W93"/>
  <c r="X93"/>
  <c r="Y93"/>
  <c r="Z93"/>
  <c r="AA93"/>
  <c r="AB93"/>
  <c r="AC93"/>
  <c r="AD93"/>
  <c r="AE93"/>
  <c r="AF93"/>
  <c r="AG93"/>
  <c r="AH93"/>
  <c r="AI93"/>
  <c r="AJ93"/>
  <c r="AK93"/>
  <c r="F92"/>
  <c r="J92"/>
  <c r="R92" s="1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H91"/>
  <c r="J91"/>
  <c r="R91" s="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H90"/>
  <c r="J90"/>
  <c r="R90" s="1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H89"/>
  <c r="J89"/>
  <c r="R89" s="1"/>
  <c r="S89"/>
  <c r="T89"/>
  <c r="U89"/>
  <c r="V89"/>
  <c r="W89"/>
  <c r="X89"/>
  <c r="Y89"/>
  <c r="Z89"/>
  <c r="AA89"/>
  <c r="AB89"/>
  <c r="AC89"/>
  <c r="AD89"/>
  <c r="AE89"/>
  <c r="AF89"/>
  <c r="AG89"/>
  <c r="AH89"/>
  <c r="AI89"/>
  <c r="AJ89"/>
  <c r="AK89"/>
  <c r="H88"/>
  <c r="J88"/>
  <c r="R88" s="1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H87"/>
  <c r="J87"/>
  <c r="R87" s="1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H86"/>
  <c r="J86"/>
  <c r="R86" s="1"/>
  <c r="S86"/>
  <c r="T86"/>
  <c r="U86"/>
  <c r="V86"/>
  <c r="W86"/>
  <c r="X86"/>
  <c r="Y86"/>
  <c r="Z86"/>
  <c r="AA86"/>
  <c r="AB86"/>
  <c r="AC86"/>
  <c r="AD86"/>
  <c r="AE86"/>
  <c r="AF86"/>
  <c r="AG86"/>
  <c r="AH86"/>
  <c r="AI86"/>
  <c r="AJ86"/>
  <c r="AK86"/>
  <c r="AL84"/>
  <c r="AL8" i="13" s="1"/>
  <c r="J70" i="12"/>
  <c r="R70" s="1"/>
  <c r="S70"/>
  <c r="T70"/>
  <c r="U70"/>
  <c r="V70"/>
  <c r="W70"/>
  <c r="X70"/>
  <c r="Y70"/>
  <c r="Z70"/>
  <c r="AA70"/>
  <c r="AB70"/>
  <c r="AC70"/>
  <c r="AD70"/>
  <c r="AE70"/>
  <c r="AF70"/>
  <c r="AG70"/>
  <c r="AH70"/>
  <c r="AI70"/>
  <c r="AJ70"/>
  <c r="AK70"/>
  <c r="J69"/>
  <c r="R69" s="1"/>
  <c r="S69"/>
  <c r="T69"/>
  <c r="U69"/>
  <c r="V69"/>
  <c r="W69"/>
  <c r="X69"/>
  <c r="Y69"/>
  <c r="Z69"/>
  <c r="AA69"/>
  <c r="AB69"/>
  <c r="AC69"/>
  <c r="AD69"/>
  <c r="AE69"/>
  <c r="AF69"/>
  <c r="AG69"/>
  <c r="AH69"/>
  <c r="AI69"/>
  <c r="AJ69"/>
  <c r="AK69"/>
  <c r="F68"/>
  <c r="H68"/>
  <c r="J68"/>
  <c r="R68" s="1"/>
  <c r="S68"/>
  <c r="T68"/>
  <c r="U68"/>
  <c r="V68"/>
  <c r="W68"/>
  <c r="X68"/>
  <c r="Y68"/>
  <c r="Z68"/>
  <c r="AA68"/>
  <c r="AB68"/>
  <c r="AC68"/>
  <c r="AD68"/>
  <c r="AE68"/>
  <c r="AF68"/>
  <c r="AG68"/>
  <c r="AH68"/>
  <c r="AI68"/>
  <c r="AJ68"/>
  <c r="AK68"/>
  <c r="J67"/>
  <c r="R67" s="1"/>
  <c r="S67"/>
  <c r="T67"/>
  <c r="U67"/>
  <c r="V67"/>
  <c r="W67"/>
  <c r="X67"/>
  <c r="Y67"/>
  <c r="Z67"/>
  <c r="AA67"/>
  <c r="AB67"/>
  <c r="AC67"/>
  <c r="AD67"/>
  <c r="AE67"/>
  <c r="AF67"/>
  <c r="AG67"/>
  <c r="AH67"/>
  <c r="AI67"/>
  <c r="AJ67"/>
  <c r="AK67"/>
  <c r="H66"/>
  <c r="J66"/>
  <c r="R66" s="1"/>
  <c r="S66"/>
  <c r="T66"/>
  <c r="U66"/>
  <c r="V66"/>
  <c r="W66"/>
  <c r="X66"/>
  <c r="Y66"/>
  <c r="Z66"/>
  <c r="AA66"/>
  <c r="AB66"/>
  <c r="AC66"/>
  <c r="AD66"/>
  <c r="AE66"/>
  <c r="AF66"/>
  <c r="AG66"/>
  <c r="AH66"/>
  <c r="AI66"/>
  <c r="AJ66"/>
  <c r="AK66"/>
  <c r="AL64"/>
  <c r="AL7" i="13" s="1"/>
  <c r="J51" i="12"/>
  <c r="R51" s="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AK51"/>
  <c r="J50"/>
  <c r="R50" s="1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J49"/>
  <c r="R49" s="1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J48"/>
  <c r="R48" s="1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J47"/>
  <c r="R47" s="1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R52"/>
  <c r="S52"/>
  <c r="T52"/>
  <c r="U52"/>
  <c r="V52"/>
  <c r="W52"/>
  <c r="X52"/>
  <c r="Y52"/>
  <c r="Z52"/>
  <c r="AA52"/>
  <c r="AB52"/>
  <c r="AC52"/>
  <c r="AD52"/>
  <c r="AE52"/>
  <c r="AF52"/>
  <c r="AG52"/>
  <c r="AH52"/>
  <c r="AI52"/>
  <c r="AJ52"/>
  <c r="AK52"/>
  <c r="J46"/>
  <c r="R46" s="1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4"/>
  <c r="AL6" i="13" s="1"/>
  <c r="F29" i="12"/>
  <c r="J29"/>
  <c r="R29" s="1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J28"/>
  <c r="R28" s="1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J27"/>
  <c r="R27" s="1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F26"/>
  <c r="H26"/>
  <c r="J26"/>
  <c r="R26" s="1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4"/>
  <c r="AL5" i="13" s="1"/>
  <c r="S8" i="12"/>
  <c r="T8"/>
  <c r="U8"/>
  <c r="V8"/>
  <c r="W8"/>
  <c r="X8"/>
  <c r="Y8"/>
  <c r="Z8"/>
  <c r="AA8"/>
  <c r="AB8"/>
  <c r="AC8"/>
  <c r="AD8"/>
  <c r="AE8"/>
  <c r="AF8"/>
  <c r="AG8"/>
  <c r="AH8"/>
  <c r="AI8"/>
  <c r="AJ8"/>
  <c r="AK8"/>
  <c r="J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B409" i="10"/>
  <c r="G408"/>
  <c r="K408" s="1"/>
  <c r="G407"/>
  <c r="K407" s="1"/>
  <c r="F404"/>
  <c r="F76" i="11" s="1"/>
  <c r="G76" s="1"/>
  <c r="J404" i="10"/>
  <c r="G403"/>
  <c r="K403" s="1"/>
  <c r="F401"/>
  <c r="F75" i="11" s="1"/>
  <c r="G75" s="1"/>
  <c r="J401" i="10"/>
  <c r="G400"/>
  <c r="K400" s="1"/>
  <c r="F398"/>
  <c r="F74" i="11" s="1"/>
  <c r="G74" s="1"/>
  <c r="J398" i="10"/>
  <c r="J74" i="11" s="1"/>
  <c r="K74" s="1"/>
  <c r="G397" i="10"/>
  <c r="H397" s="1"/>
  <c r="L397" s="1"/>
  <c r="G396"/>
  <c r="K396" s="1"/>
  <c r="F394"/>
  <c r="F73" i="11" s="1"/>
  <c r="G73" s="1"/>
  <c r="J394" i="10"/>
  <c r="G393"/>
  <c r="H393" s="1"/>
  <c r="G392"/>
  <c r="H392" s="1"/>
  <c r="L392" s="1"/>
  <c r="F390"/>
  <c r="F72" i="11" s="1"/>
  <c r="G72" s="1"/>
  <c r="J390" i="10"/>
  <c r="J72" i="11" s="1"/>
  <c r="K72" s="1"/>
  <c r="G389" i="10"/>
  <c r="K389" s="1"/>
  <c r="G388"/>
  <c r="K388" s="1"/>
  <c r="F386"/>
  <c r="F71" i="11" s="1"/>
  <c r="G71" s="1"/>
  <c r="J386" i="10"/>
  <c r="J71" i="11" s="1"/>
  <c r="K71" s="1"/>
  <c r="G385" i="10"/>
  <c r="K385" s="1"/>
  <c r="G384"/>
  <c r="K384" s="1"/>
  <c r="F382"/>
  <c r="F70" i="11" s="1"/>
  <c r="G70" s="1"/>
  <c r="J382" i="10"/>
  <c r="J70" i="11" s="1"/>
  <c r="K70" s="1"/>
  <c r="G381" i="10"/>
  <c r="H381" s="1"/>
  <c r="L381" s="1"/>
  <c r="G380"/>
  <c r="K380" s="1"/>
  <c r="J378"/>
  <c r="J69" i="11" s="1"/>
  <c r="K69" s="1"/>
  <c r="G377" i="10"/>
  <c r="K377" s="1"/>
  <c r="G376"/>
  <c r="H376" s="1"/>
  <c r="B375"/>
  <c r="E373"/>
  <c r="F373" s="1"/>
  <c r="J363"/>
  <c r="J66" i="11" s="1"/>
  <c r="K66" s="1"/>
  <c r="G362" i="10"/>
  <c r="K362" s="1"/>
  <c r="G361"/>
  <c r="K361" s="1"/>
  <c r="E360"/>
  <c r="K360" s="1"/>
  <c r="J357"/>
  <c r="J65" i="11" s="1"/>
  <c r="K65" s="1"/>
  <c r="B356" i="10"/>
  <c r="B355"/>
  <c r="G354"/>
  <c r="H354" s="1"/>
  <c r="L354" s="1"/>
  <c r="G353"/>
  <c r="K353" s="1"/>
  <c r="J348"/>
  <c r="J64" i="11" s="1"/>
  <c r="K64" s="1"/>
  <c r="G347" i="10"/>
  <c r="K347" s="1"/>
  <c r="J343"/>
  <c r="B342"/>
  <c r="G341"/>
  <c r="H341" s="1"/>
  <c r="G340"/>
  <c r="K340" s="1"/>
  <c r="L335"/>
  <c r="J334"/>
  <c r="J61" i="11" s="1"/>
  <c r="K61" s="1"/>
  <c r="B333" i="10"/>
  <c r="G332"/>
  <c r="K332" s="1"/>
  <c r="G331"/>
  <c r="K331" s="1"/>
  <c r="K329"/>
  <c r="L329"/>
  <c r="K328"/>
  <c r="L328"/>
  <c r="K327"/>
  <c r="L327"/>
  <c r="K326"/>
  <c r="L326"/>
  <c r="J324"/>
  <c r="J60" i="11" s="1"/>
  <c r="G323" i="10"/>
  <c r="H323" s="1"/>
  <c r="L323" s="1"/>
  <c r="G322"/>
  <c r="K322" s="1"/>
  <c r="J318"/>
  <c r="J59" i="11" s="1"/>
  <c r="K59" s="1"/>
  <c r="G317" i="10"/>
  <c r="K317" s="1"/>
  <c r="G316"/>
  <c r="K316" s="1"/>
  <c r="E314"/>
  <c r="K314" s="1"/>
  <c r="J312"/>
  <c r="J58" i="11" s="1"/>
  <c r="K58" s="1"/>
  <c r="G311" i="10"/>
  <c r="K311" s="1"/>
  <c r="G310"/>
  <c r="K310" s="1"/>
  <c r="B309"/>
  <c r="E308"/>
  <c r="K308" s="1"/>
  <c r="J305"/>
  <c r="J57" i="11" s="1"/>
  <c r="K57" s="1"/>
  <c r="J301" i="10"/>
  <c r="J56" i="11" s="1"/>
  <c r="K56" s="1"/>
  <c r="G300" i="10"/>
  <c r="H300" s="1"/>
  <c r="L300" s="1"/>
  <c r="G299"/>
  <c r="K299" s="1"/>
  <c r="J295"/>
  <c r="J55" i="11" s="1"/>
  <c r="K55" s="1"/>
  <c r="B294" i="10"/>
  <c r="G293"/>
  <c r="K293" s="1"/>
  <c r="B292"/>
  <c r="J289"/>
  <c r="J54" i="11" s="1"/>
  <c r="K54" s="1"/>
  <c r="B288" i="10"/>
  <c r="G287"/>
  <c r="K287" s="1"/>
  <c r="F285"/>
  <c r="L285" s="1"/>
  <c r="K285"/>
  <c r="J282"/>
  <c r="J53" i="11" s="1"/>
  <c r="K53" s="1"/>
  <c r="B281" i="10"/>
  <c r="G280"/>
  <c r="K280" s="1"/>
  <c r="G279"/>
  <c r="K279" s="1"/>
  <c r="E278"/>
  <c r="F278" s="1"/>
  <c r="J276"/>
  <c r="J52" i="11" s="1"/>
  <c r="K52" s="1"/>
  <c r="B275" i="10"/>
  <c r="G274"/>
  <c r="H274" s="1"/>
  <c r="G273"/>
  <c r="K273" s="1"/>
  <c r="J270"/>
  <c r="B269"/>
  <c r="G268"/>
  <c r="K268" s="1"/>
  <c r="G267"/>
  <c r="H267" s="1"/>
  <c r="K265"/>
  <c r="L265"/>
  <c r="K264"/>
  <c r="L264"/>
  <c r="K263"/>
  <c r="L263"/>
  <c r="K262"/>
  <c r="L262"/>
  <c r="J260"/>
  <c r="J50" i="11" s="1"/>
  <c r="K50" s="1"/>
  <c r="J253" i="10"/>
  <c r="J49" i="11" s="1"/>
  <c r="K49" s="1"/>
  <c r="G252" i="10"/>
  <c r="H252" s="1"/>
  <c r="L252" s="1"/>
  <c r="G251"/>
  <c r="K251" s="1"/>
  <c r="E249"/>
  <c r="F249" s="1"/>
  <c r="J247"/>
  <c r="J48" i="11" s="1"/>
  <c r="K48" s="1"/>
  <c r="G246" i="10"/>
  <c r="G245"/>
  <c r="K245" s="1"/>
  <c r="E242"/>
  <c r="F242" s="1"/>
  <c r="J240"/>
  <c r="J47" i="11" s="1"/>
  <c r="K47" s="1"/>
  <c r="G239" i="10"/>
  <c r="K239" s="1"/>
  <c r="G238"/>
  <c r="K238" s="1"/>
  <c r="J234"/>
  <c r="J46" i="11" s="1"/>
  <c r="K46" s="1"/>
  <c r="B233" i="10"/>
  <c r="G232"/>
  <c r="H232" s="1"/>
  <c r="L232" s="1"/>
  <c r="G231"/>
  <c r="K231" s="1"/>
  <c r="J228"/>
  <c r="J45" i="11" s="1"/>
  <c r="K45" s="1"/>
  <c r="G227" i="10"/>
  <c r="K227" s="1"/>
  <c r="G226"/>
  <c r="K226" s="1"/>
  <c r="J223"/>
  <c r="J44" i="11" s="1"/>
  <c r="K44" s="1"/>
  <c r="B222" i="10"/>
  <c r="G221"/>
  <c r="K221" s="1"/>
  <c r="G220"/>
  <c r="H220" s="1"/>
  <c r="J217"/>
  <c r="B216"/>
  <c r="G215"/>
  <c r="H215" s="1"/>
  <c r="L215" s="1"/>
  <c r="G214"/>
  <c r="K214" s="1"/>
  <c r="J211"/>
  <c r="J42" i="11" s="1"/>
  <c r="K42" s="1"/>
  <c r="B210" i="10"/>
  <c r="G209"/>
  <c r="H209" s="1"/>
  <c r="L209" s="1"/>
  <c r="G208"/>
  <c r="K208" s="1"/>
  <c r="F207"/>
  <c r="L207" s="1"/>
  <c r="K207"/>
  <c r="F206"/>
  <c r="L206" s="1"/>
  <c r="K206"/>
  <c r="F205"/>
  <c r="L205" s="1"/>
  <c r="K205"/>
  <c r="F204"/>
  <c r="L204" s="1"/>
  <c r="K204"/>
  <c r="J200"/>
  <c r="J41" i="11" s="1"/>
  <c r="K41" s="1"/>
  <c r="G199" i="10"/>
  <c r="K199" s="1"/>
  <c r="J195"/>
  <c r="J40" i="11" s="1"/>
  <c r="K40" s="1"/>
  <c r="G194" i="10"/>
  <c r="H194" s="1"/>
  <c r="L194" s="1"/>
  <c r="G193"/>
  <c r="K193" s="1"/>
  <c r="E192"/>
  <c r="F192" s="1"/>
  <c r="L192" s="1"/>
  <c r="H189"/>
  <c r="J189"/>
  <c r="J39" i="11" s="1"/>
  <c r="K39" s="1"/>
  <c r="F186" i="10"/>
  <c r="F38" i="11" s="1"/>
  <c r="G38" s="1"/>
  <c r="J186" i="10"/>
  <c r="J38" i="11" s="1"/>
  <c r="K38" s="1"/>
  <c r="G185" i="10"/>
  <c r="H185" s="1"/>
  <c r="I182"/>
  <c r="K182" s="1"/>
  <c r="G180"/>
  <c r="H180" s="1"/>
  <c r="L180" s="1"/>
  <c r="G179"/>
  <c r="K179" s="1"/>
  <c r="G178"/>
  <c r="H178" s="1"/>
  <c r="L178" s="1"/>
  <c r="G177"/>
  <c r="K177" s="1"/>
  <c r="B176"/>
  <c r="E174"/>
  <c r="K174" s="1"/>
  <c r="E173"/>
  <c r="K173" s="1"/>
  <c r="I170"/>
  <c r="K170" s="1"/>
  <c r="G168"/>
  <c r="K168" s="1"/>
  <c r="G167"/>
  <c r="K167" s="1"/>
  <c r="G166"/>
  <c r="K166" s="1"/>
  <c r="G165"/>
  <c r="K165" s="1"/>
  <c r="B164"/>
  <c r="E163"/>
  <c r="K163" s="1"/>
  <c r="E161"/>
  <c r="K161" s="1"/>
  <c r="E156"/>
  <c r="K156" s="1"/>
  <c r="J152"/>
  <c r="J34" i="11" s="1"/>
  <c r="K34" s="1"/>
  <c r="G151" i="10"/>
  <c r="K151" s="1"/>
  <c r="H148"/>
  <c r="H33" i="11" s="1"/>
  <c r="I33" s="1"/>
  <c r="J148" i="10"/>
  <c r="J33" i="11" s="1"/>
  <c r="K33" s="1"/>
  <c r="H145" i="10"/>
  <c r="J145"/>
  <c r="J32" i="11" s="1"/>
  <c r="K32" s="1"/>
  <c r="H142" i="10"/>
  <c r="J142"/>
  <c r="J31" i="11" s="1"/>
  <c r="K31" s="1"/>
  <c r="H139" i="10"/>
  <c r="J139"/>
  <c r="J30" i="11" s="1"/>
  <c r="K30" s="1"/>
  <c r="H136" i="10"/>
  <c r="J136"/>
  <c r="J29" i="11" s="1"/>
  <c r="K29" s="1"/>
  <c r="J133" i="10"/>
  <c r="J28" i="11" s="1"/>
  <c r="K28" s="1"/>
  <c r="G132" i="10"/>
  <c r="K132" s="1"/>
  <c r="G131"/>
  <c r="K131" s="1"/>
  <c r="J128"/>
  <c r="J27" i="11" s="1"/>
  <c r="K27" s="1"/>
  <c r="G127" i="10"/>
  <c r="K127" s="1"/>
  <c r="B126"/>
  <c r="G125"/>
  <c r="H125" s="1"/>
  <c r="L125" s="1"/>
  <c r="G124"/>
  <c r="K124" s="1"/>
  <c r="H120"/>
  <c r="H26" i="11" s="1"/>
  <c r="I26" s="1"/>
  <c r="J120" i="10"/>
  <c r="H116"/>
  <c r="H25" i="11" s="1"/>
  <c r="I25" s="1"/>
  <c r="J116" i="10"/>
  <c r="J25" i="11" s="1"/>
  <c r="K25" s="1"/>
  <c r="J112" i="10"/>
  <c r="J24" i="11" s="1"/>
  <c r="K24" s="1"/>
  <c r="G111" i="10"/>
  <c r="K111" s="1"/>
  <c r="B110"/>
  <c r="G109"/>
  <c r="K109" s="1"/>
  <c r="G108"/>
  <c r="K108" s="1"/>
  <c r="J104"/>
  <c r="J23" i="11" s="1"/>
  <c r="K23" s="1"/>
  <c r="G103" i="10"/>
  <c r="K103" s="1"/>
  <c r="J99"/>
  <c r="J22" i="11" s="1"/>
  <c r="K22" s="1"/>
  <c r="G98" i="10"/>
  <c r="K98" s="1"/>
  <c r="G97"/>
  <c r="K97" s="1"/>
  <c r="F94"/>
  <c r="J94"/>
  <c r="J21" i="11" s="1"/>
  <c r="K21" s="1"/>
  <c r="G93" i="10"/>
  <c r="H93" s="1"/>
  <c r="G92"/>
  <c r="H92" s="1"/>
  <c r="L92" s="1"/>
  <c r="F90"/>
  <c r="F20" i="11" s="1"/>
  <c r="G20" s="1"/>
  <c r="J90" i="10"/>
  <c r="J20" i="11" s="1"/>
  <c r="K20" s="1"/>
  <c r="G89" i="10"/>
  <c r="K89" s="1"/>
  <c r="G88"/>
  <c r="H88" s="1"/>
  <c r="L88" s="1"/>
  <c r="F86"/>
  <c r="F19" i="11" s="1"/>
  <c r="G19" s="1"/>
  <c r="J86" i="10"/>
  <c r="J19" i="11" s="1"/>
  <c r="K19" s="1"/>
  <c r="G85" i="10"/>
  <c r="K85" s="1"/>
  <c r="G84"/>
  <c r="K84" s="1"/>
  <c r="J82"/>
  <c r="J18" i="11" s="1"/>
  <c r="K18" s="1"/>
  <c r="J76" i="10"/>
  <c r="J17" i="11" s="1"/>
  <c r="K17" s="1"/>
  <c r="G75" i="10"/>
  <c r="K75" s="1"/>
  <c r="G74"/>
  <c r="K74" s="1"/>
  <c r="J71"/>
  <c r="J16" i="11" s="1"/>
  <c r="K16" s="1"/>
  <c r="G70" i="10"/>
  <c r="K70" s="1"/>
  <c r="J66"/>
  <c r="J15" i="11" s="1"/>
  <c r="K15" s="1"/>
  <c r="G65" i="10"/>
  <c r="K65" s="1"/>
  <c r="G64"/>
  <c r="H64" s="1"/>
  <c r="L64" s="1"/>
  <c r="J61"/>
  <c r="J14" i="11" s="1"/>
  <c r="K14" s="1"/>
  <c r="B60" i="10"/>
  <c r="G59"/>
  <c r="H59" s="1"/>
  <c r="L59" s="1"/>
  <c r="G58"/>
  <c r="H58" s="1"/>
  <c r="J56"/>
  <c r="J13" i="11" s="1"/>
  <c r="K13" s="1"/>
  <c r="B55" i="10"/>
  <c r="G54"/>
  <c r="H54" s="1"/>
  <c r="G53"/>
  <c r="K53" s="1"/>
  <c r="E52"/>
  <c r="K52" s="1"/>
  <c r="J48"/>
  <c r="J12" i="11" s="1"/>
  <c r="K12" s="1"/>
  <c r="B47" i="10"/>
  <c r="G46"/>
  <c r="K46" s="1"/>
  <c r="G45"/>
  <c r="H45" s="1"/>
  <c r="E43"/>
  <c r="K43" s="1"/>
  <c r="E42"/>
  <c r="K42" s="1"/>
  <c r="F40"/>
  <c r="F11" i="11" s="1"/>
  <c r="G11" s="1"/>
  <c r="J40" i="10"/>
  <c r="J11" i="11" s="1"/>
  <c r="K11" s="1"/>
  <c r="G39" i="10"/>
  <c r="H39" s="1"/>
  <c r="J37"/>
  <c r="G36"/>
  <c r="K36" s="1"/>
  <c r="G35"/>
  <c r="H35" s="1"/>
  <c r="H32"/>
  <c r="J32"/>
  <c r="J9" i="11" s="1"/>
  <c r="K9" s="1"/>
  <c r="J28" i="10"/>
  <c r="J8" i="11" s="1"/>
  <c r="K8" s="1"/>
  <c r="G27" i="10"/>
  <c r="H27" s="1"/>
  <c r="L27" s="1"/>
  <c r="G26"/>
  <c r="K26" s="1"/>
  <c r="F7" i="11"/>
  <c r="G7" s="1"/>
  <c r="F7" i="12" s="1"/>
  <c r="J23" i="10"/>
  <c r="G21"/>
  <c r="K21" s="1"/>
  <c r="F19"/>
  <c r="F6" i="11" s="1"/>
  <c r="G6" s="1"/>
  <c r="E269" i="12" s="1"/>
  <c r="F269" s="1"/>
  <c r="J19" i="10"/>
  <c r="J6" i="11" s="1"/>
  <c r="K6" s="1"/>
  <c r="G18" i="10"/>
  <c r="K18" s="1"/>
  <c r="J16"/>
  <c r="J5" i="11" s="1"/>
  <c r="K5" s="1"/>
  <c r="G15" i="10"/>
  <c r="K15" s="1"/>
  <c r="E6"/>
  <c r="K6" s="1"/>
  <c r="J76" i="11"/>
  <c r="J75"/>
  <c r="K75" s="1"/>
  <c r="J63"/>
  <c r="K63" s="1"/>
  <c r="F62"/>
  <c r="G62" s="1"/>
  <c r="F155" i="12" s="1"/>
  <c r="H62" i="11"/>
  <c r="I62" s="1"/>
  <c r="H155" i="12" s="1"/>
  <c r="J62" i="11"/>
  <c r="K62" s="1"/>
  <c r="J51"/>
  <c r="K51" s="1"/>
  <c r="J43"/>
  <c r="K43" s="1"/>
  <c r="H30"/>
  <c r="I30" s="1"/>
  <c r="J26"/>
  <c r="K26" s="1"/>
  <c r="F21"/>
  <c r="G21" s="1"/>
  <c r="J10"/>
  <c r="K10" s="1"/>
  <c r="J7"/>
  <c r="K7" s="1"/>
  <c r="E40" i="8"/>
  <c r="E39"/>
  <c r="E38"/>
  <c r="L38"/>
  <c r="A38" s="1"/>
  <c r="E37"/>
  <c r="L37"/>
  <c r="A37" s="1"/>
  <c r="E36"/>
  <c r="L36"/>
  <c r="A36" s="1"/>
  <c r="E35"/>
  <c r="E34"/>
  <c r="E33"/>
  <c r="L33"/>
  <c r="A33" s="1"/>
  <c r="E32"/>
  <c r="L32"/>
  <c r="A32" s="1"/>
  <c r="E31"/>
  <c r="E30"/>
  <c r="L30"/>
  <c r="A30" s="1"/>
  <c r="E29"/>
  <c r="L29"/>
  <c r="A29" s="1"/>
  <c r="E28"/>
  <c r="E27"/>
  <c r="L27"/>
  <c r="A27" s="1"/>
  <c r="E26"/>
  <c r="L26"/>
  <c r="A26" s="1"/>
  <c r="E25"/>
  <c r="L25"/>
  <c r="A25" s="1"/>
  <c r="E24"/>
  <c r="L24"/>
  <c r="A24" s="1"/>
  <c r="E23"/>
  <c r="L23"/>
  <c r="A23" s="1"/>
  <c r="E22"/>
  <c r="L22"/>
  <c r="A22" s="1"/>
  <c r="E21"/>
  <c r="L21"/>
  <c r="A21" s="1"/>
  <c r="E20"/>
  <c r="L20"/>
  <c r="A20" s="1"/>
  <c r="E19"/>
  <c r="L19"/>
  <c r="E18"/>
  <c r="E13"/>
  <c r="E12"/>
  <c r="L12"/>
  <c r="A12" s="1"/>
  <c r="E11"/>
  <c r="L11"/>
  <c r="A11" s="1"/>
  <c r="E10"/>
  <c r="L10"/>
  <c r="A10" s="1"/>
  <c r="E9"/>
  <c r="L9"/>
  <c r="A9" s="1"/>
  <c r="E8"/>
  <c r="L8"/>
  <c r="A8" s="1"/>
  <c r="E7"/>
  <c r="L7"/>
  <c r="E6"/>
  <c r="F6" i="7"/>
  <c r="H6"/>
  <c r="I6" s="1"/>
  <c r="H5"/>
  <c r="I5" s="1"/>
  <c r="G36" i="6"/>
  <c r="H36" s="1"/>
  <c r="K35"/>
  <c r="L35"/>
  <c r="B33"/>
  <c r="K31"/>
  <c r="L31"/>
  <c r="K28"/>
  <c r="L28"/>
  <c r="G24"/>
  <c r="K24" s="1"/>
  <c r="K23"/>
  <c r="L23"/>
  <c r="B21"/>
  <c r="K19"/>
  <c r="L19"/>
  <c r="K16"/>
  <c r="L16"/>
  <c r="F14"/>
  <c r="H14"/>
  <c r="I12"/>
  <c r="K12" s="1"/>
  <c r="K11"/>
  <c r="L11"/>
  <c r="F9"/>
  <c r="F5" i="7" s="1"/>
  <c r="H9" i="6"/>
  <c r="K6"/>
  <c r="L6"/>
  <c r="J77" i="5"/>
  <c r="F64"/>
  <c r="H65"/>
  <c r="J65"/>
  <c r="F62"/>
  <c r="H63"/>
  <c r="H77" s="1"/>
  <c r="J63"/>
  <c r="J76" s="1"/>
  <c r="J58"/>
  <c r="K58"/>
  <c r="H59"/>
  <c r="F50"/>
  <c r="H51"/>
  <c r="K51"/>
  <c r="K59" s="1"/>
  <c r="F48"/>
  <c r="J49"/>
  <c r="F46"/>
  <c r="J47"/>
  <c r="J59" s="1"/>
  <c r="F44"/>
  <c r="H45"/>
  <c r="H58" s="1"/>
  <c r="J45"/>
  <c r="G41"/>
  <c r="F30"/>
  <c r="I31"/>
  <c r="F28"/>
  <c r="I29"/>
  <c r="F26"/>
  <c r="I27"/>
  <c r="F24"/>
  <c r="I25"/>
  <c r="F22"/>
  <c r="H23"/>
  <c r="I23"/>
  <c r="F20"/>
  <c r="H21"/>
  <c r="I21"/>
  <c r="F18"/>
  <c r="H19"/>
  <c r="I19"/>
  <c r="F16"/>
  <c r="H17"/>
  <c r="I17"/>
  <c r="F14"/>
  <c r="H15"/>
  <c r="I15"/>
  <c r="F12"/>
  <c r="H13"/>
  <c r="I13"/>
  <c r="F10"/>
  <c r="H11"/>
  <c r="H40" s="1"/>
  <c r="I11"/>
  <c r="I40" s="1"/>
  <c r="F8"/>
  <c r="G9"/>
  <c r="G40" s="1"/>
  <c r="H9"/>
  <c r="N135" i="4"/>
  <c r="N134"/>
  <c r="N133"/>
  <c r="N132"/>
  <c r="I7" i="6" s="1"/>
  <c r="N131" i="4"/>
  <c r="I29" i="6" s="1"/>
  <c r="N130" i="4"/>
  <c r="I17" i="6" s="1"/>
  <c r="N107" i="4"/>
  <c r="N106"/>
  <c r="N105"/>
  <c r="N104"/>
  <c r="N103"/>
  <c r="E237" i="10" s="1"/>
  <c r="N102" i="4"/>
  <c r="E320" i="10" s="1"/>
  <c r="N101" i="4"/>
  <c r="N100"/>
  <c r="N99"/>
  <c r="E14" i="10" s="1"/>
  <c r="N98" i="4"/>
  <c r="N97"/>
  <c r="N96"/>
  <c r="N95"/>
  <c r="E236" i="10" s="1"/>
  <c r="N94" i="4"/>
  <c r="E339" i="10" s="1"/>
  <c r="N93" i="4"/>
  <c r="E286" i="10" s="1"/>
  <c r="N92" i="4"/>
  <c r="E250" i="10" s="1"/>
  <c r="N91" i="4"/>
  <c r="N90"/>
  <c r="N89"/>
  <c r="E351" i="10" s="1"/>
  <c r="N88" i="4"/>
  <c r="N87"/>
  <c r="F66" i="12" s="1"/>
  <c r="N86" i="4"/>
  <c r="E13" i="10" s="1"/>
  <c r="N85" i="4"/>
  <c r="E155" i="10" s="1"/>
  <c r="N84" i="4"/>
  <c r="N83"/>
  <c r="E144" i="10" s="1"/>
  <c r="N82" i="4"/>
  <c r="E359" i="10" s="1"/>
  <c r="N81" i="4"/>
  <c r="N80"/>
  <c r="N79"/>
  <c r="N78"/>
  <c r="E266" i="10" s="1"/>
  <c r="N77" i="4"/>
  <c r="E352" i="10" s="1"/>
  <c r="K352" s="1"/>
  <c r="N76" i="4"/>
  <c r="E315" i="10" s="1"/>
  <c r="N75" i="4"/>
  <c r="E321" i="10" s="1"/>
  <c r="N74" i="4"/>
  <c r="N73"/>
  <c r="N72"/>
  <c r="N71"/>
  <c r="E175" i="10" s="1"/>
  <c r="N70" i="4"/>
  <c r="N69"/>
  <c r="N68"/>
  <c r="E150" i="10" s="1"/>
  <c r="N67" i="4"/>
  <c r="E188" i="10" s="1"/>
  <c r="N66" i="4"/>
  <c r="E374" i="10" s="1"/>
  <c r="N65" i="4"/>
  <c r="N64"/>
  <c r="E118" i="10" s="1"/>
  <c r="N63" i="4"/>
  <c r="N62"/>
  <c r="N61"/>
  <c r="N60"/>
  <c r="N59"/>
  <c r="N58"/>
  <c r="E154" i="10" s="1"/>
  <c r="N57" i="4"/>
  <c r="E350" i="10" s="1"/>
  <c r="N56" i="4"/>
  <c r="E8" i="10" s="1"/>
  <c r="K8" s="1"/>
  <c r="N55" i="4"/>
  <c r="N54"/>
  <c r="E9" i="10" s="1"/>
  <c r="N53" i="4"/>
  <c r="E138" i="10" s="1"/>
  <c r="N52" i="4"/>
  <c r="E135" i="10" s="1"/>
  <c r="N51" i="4"/>
  <c r="N50"/>
  <c r="N49"/>
  <c r="N48"/>
  <c r="N47"/>
  <c r="E272" i="10" s="1"/>
  <c r="N46" i="4"/>
  <c r="E219" i="10" s="1"/>
  <c r="N45" i="4"/>
  <c r="N44"/>
  <c r="N43"/>
  <c r="E162" i="10" s="1"/>
  <c r="N42" i="4"/>
  <c r="N41"/>
  <c r="E11" i="10" s="1"/>
  <c r="N40" i="4"/>
  <c r="E10" i="10" s="1"/>
  <c r="N39" i="4"/>
  <c r="N38"/>
  <c r="N37"/>
  <c r="E225" i="10" s="1"/>
  <c r="N36" i="4"/>
  <c r="E12" i="10" s="1"/>
  <c r="N35" i="4"/>
  <c r="F135" i="12" s="1"/>
  <c r="N34" i="4"/>
  <c r="E297" i="10" s="1"/>
  <c r="N33" i="4"/>
  <c r="E291" i="10" s="1"/>
  <c r="K291" s="1"/>
  <c r="N32" i="4"/>
  <c r="F91" i="12" s="1"/>
  <c r="N31" i="4"/>
  <c r="E44" i="10" s="1"/>
  <c r="N30" i="4"/>
  <c r="E119" i="10" s="1"/>
  <c r="N29" i="4"/>
  <c r="E69" i="10" s="1"/>
  <c r="N28" i="4"/>
  <c r="N27"/>
  <c r="E191" i="10" s="1"/>
  <c r="N26" i="4"/>
  <c r="N25"/>
  <c r="N24"/>
  <c r="E368" i="10" s="1"/>
  <c r="N23" i="4"/>
  <c r="N22"/>
  <c r="E20" i="6" s="1"/>
  <c r="N21" i="4"/>
  <c r="E337" i="10" s="1"/>
  <c r="N20" i="4"/>
  <c r="E7" i="10" s="1"/>
  <c r="N19" i="4"/>
  <c r="N18"/>
  <c r="F126" i="12" s="1"/>
  <c r="N17" i="4"/>
  <c r="N16"/>
  <c r="N15"/>
  <c r="N14"/>
  <c r="N13"/>
  <c r="E202" i="10" s="1"/>
  <c r="N12" i="4"/>
  <c r="E203" i="10" s="1"/>
  <c r="N11" i="4"/>
  <c r="E230" i="10" s="1"/>
  <c r="N10" i="4"/>
  <c r="E284" i="10" s="1"/>
  <c r="N9" i="4"/>
  <c r="N8"/>
  <c r="N7"/>
  <c r="N6"/>
  <c r="N5"/>
  <c r="K64" i="10" l="1"/>
  <c r="F244"/>
  <c r="L244" s="1"/>
  <c r="R148" i="12"/>
  <c r="J8"/>
  <c r="R8" s="1"/>
  <c r="F8"/>
  <c r="H8"/>
  <c r="H21" i="10"/>
  <c r="AK15" i="13"/>
  <c r="U15"/>
  <c r="L151" i="12"/>
  <c r="AC15" i="13"/>
  <c r="Y124" i="12"/>
  <c r="Y10" i="13" s="1"/>
  <c r="Y64" i="12"/>
  <c r="Y7" i="13" s="1"/>
  <c r="S44" i="12"/>
  <c r="S6" i="13" s="1"/>
  <c r="R124" i="12"/>
  <c r="R10" i="13" s="1"/>
  <c r="Y24" i="12"/>
  <c r="Y5" i="13" s="1"/>
  <c r="X104" i="12"/>
  <c r="X9" i="13" s="1"/>
  <c r="T185" i="12"/>
  <c r="T13" i="13" s="1"/>
  <c r="F95" i="12"/>
  <c r="AH285"/>
  <c r="AH17" i="13" s="1"/>
  <c r="Z285" i="12"/>
  <c r="Z17" i="13" s="1"/>
  <c r="AF285" i="12"/>
  <c r="AF17" i="13" s="1"/>
  <c r="AK285" i="12"/>
  <c r="AK17" i="13" s="1"/>
  <c r="AC285" i="12"/>
  <c r="AC17" i="13" s="1"/>
  <c r="T285" i="12"/>
  <c r="T17" i="13" s="1"/>
  <c r="H70" i="10"/>
  <c r="L70" s="1"/>
  <c r="H74"/>
  <c r="L74" s="1"/>
  <c r="H246"/>
  <c r="L246" s="1"/>
  <c r="K209"/>
  <c r="K246"/>
  <c r="Y165" i="12"/>
  <c r="Y12" i="13" s="1"/>
  <c r="H36" i="10"/>
  <c r="L36" s="1"/>
  <c r="H103"/>
  <c r="L103" s="1"/>
  <c r="K178"/>
  <c r="H193"/>
  <c r="L193" s="1"/>
  <c r="H279"/>
  <c r="L279" s="1"/>
  <c r="H340"/>
  <c r="L340" s="1"/>
  <c r="K354"/>
  <c r="H53"/>
  <c r="L53" s="1"/>
  <c r="K88"/>
  <c r="H131"/>
  <c r="L131" s="1"/>
  <c r="K232"/>
  <c r="K300"/>
  <c r="H310"/>
  <c r="L310" s="1"/>
  <c r="H361"/>
  <c r="L361" s="1"/>
  <c r="H377"/>
  <c r="L377" s="1"/>
  <c r="K381"/>
  <c r="K392"/>
  <c r="K220"/>
  <c r="H26"/>
  <c r="H84"/>
  <c r="L84" s="1"/>
  <c r="H317"/>
  <c r="L317" s="1"/>
  <c r="H388"/>
  <c r="L388" s="1"/>
  <c r="AD124" i="12"/>
  <c r="AD10" i="13" s="1"/>
  <c r="H46" i="10"/>
  <c r="L46" s="1"/>
  <c r="K59"/>
  <c r="K92"/>
  <c r="K125"/>
  <c r="H177"/>
  <c r="L177" s="1"/>
  <c r="H226"/>
  <c r="L226" s="1"/>
  <c r="H239"/>
  <c r="L239" s="1"/>
  <c r="H268"/>
  <c r="L268" s="1"/>
  <c r="H273"/>
  <c r="L273" s="1"/>
  <c r="H332"/>
  <c r="L332" s="1"/>
  <c r="H384"/>
  <c r="L384" s="1"/>
  <c r="H403"/>
  <c r="AJ44" i="12"/>
  <c r="AJ6" i="13" s="1"/>
  <c r="AJ84" i="12"/>
  <c r="AJ8" i="13" s="1"/>
  <c r="T84" i="12"/>
  <c r="T8" i="13" s="1"/>
  <c r="K180" i="10"/>
  <c r="K194"/>
  <c r="F172" i="12"/>
  <c r="F185" s="1"/>
  <c r="E13" i="13" s="1"/>
  <c r="G5" i="7"/>
  <c r="L45" i="10"/>
  <c r="L373"/>
  <c r="K11"/>
  <c r="F11"/>
  <c r="L11" s="1"/>
  <c r="K350"/>
  <c r="F350"/>
  <c r="K351"/>
  <c r="F351"/>
  <c r="L351" s="1"/>
  <c r="L249"/>
  <c r="L278"/>
  <c r="K368"/>
  <c r="F368"/>
  <c r="L368" s="1"/>
  <c r="K10"/>
  <c r="F10"/>
  <c r="L10" s="1"/>
  <c r="K118"/>
  <c r="F118"/>
  <c r="L35"/>
  <c r="L341"/>
  <c r="K284"/>
  <c r="F284"/>
  <c r="F154"/>
  <c r="L154" s="1"/>
  <c r="K154"/>
  <c r="K374"/>
  <c r="F374"/>
  <c r="L374" s="1"/>
  <c r="K359"/>
  <c r="F359"/>
  <c r="K44"/>
  <c r="F44"/>
  <c r="L44" s="1"/>
  <c r="K175"/>
  <c r="F175"/>
  <c r="L175" s="1"/>
  <c r="K236"/>
  <c r="F236"/>
  <c r="K237"/>
  <c r="F237"/>
  <c r="L237" s="1"/>
  <c r="L36" i="6"/>
  <c r="H37"/>
  <c r="L37" s="1"/>
  <c r="H38"/>
  <c r="L58" i="10"/>
  <c r="H61"/>
  <c r="E60"/>
  <c r="K60" s="1"/>
  <c r="L220"/>
  <c r="K119"/>
  <c r="F119"/>
  <c r="L119" s="1"/>
  <c r="F219"/>
  <c r="K219"/>
  <c r="K266"/>
  <c r="F266"/>
  <c r="L267"/>
  <c r="E269"/>
  <c r="K269" s="1"/>
  <c r="L274"/>
  <c r="F202"/>
  <c r="K202"/>
  <c r="F337"/>
  <c r="L337" s="1"/>
  <c r="K337"/>
  <c r="K69"/>
  <c r="F69"/>
  <c r="L69" s="1"/>
  <c r="K225"/>
  <c r="F225"/>
  <c r="K138"/>
  <c r="F138"/>
  <c r="F153" i="12"/>
  <c r="L153" s="1"/>
  <c r="K153"/>
  <c r="K155" i="10"/>
  <c r="F155"/>
  <c r="L155" s="1"/>
  <c r="F286"/>
  <c r="L286" s="1"/>
  <c r="K286"/>
  <c r="K29" i="6"/>
  <c r="J29"/>
  <c r="L39" i="10"/>
  <c r="H40"/>
  <c r="L393"/>
  <c r="H394"/>
  <c r="H73" i="11" s="1"/>
  <c r="I73" s="1"/>
  <c r="H170" i="12" s="1"/>
  <c r="L170" s="1"/>
  <c r="K272" i="10"/>
  <c r="F272"/>
  <c r="F20" i="6"/>
  <c r="K20"/>
  <c r="F13" i="10"/>
  <c r="L13" s="1"/>
  <c r="K13"/>
  <c r="K320"/>
  <c r="F320"/>
  <c r="F7"/>
  <c r="L7" s="1"/>
  <c r="K7"/>
  <c r="K135"/>
  <c r="F135"/>
  <c r="L54"/>
  <c r="L185"/>
  <c r="H186"/>
  <c r="L376"/>
  <c r="K297"/>
  <c r="F297"/>
  <c r="K9"/>
  <c r="F9"/>
  <c r="L9" s="1"/>
  <c r="K339"/>
  <c r="F339"/>
  <c r="L339" s="1"/>
  <c r="J7" i="6"/>
  <c r="K7"/>
  <c r="F203" i="10"/>
  <c r="L203" s="1"/>
  <c r="K203"/>
  <c r="F12"/>
  <c r="L12" s="1"/>
  <c r="K12"/>
  <c r="F150"/>
  <c r="K150"/>
  <c r="K315"/>
  <c r="F315"/>
  <c r="L315" s="1"/>
  <c r="F250"/>
  <c r="L250" s="1"/>
  <c r="K250"/>
  <c r="J17" i="6"/>
  <c r="K17"/>
  <c r="K230" i="10"/>
  <c r="F230"/>
  <c r="K191"/>
  <c r="F191"/>
  <c r="K162"/>
  <c r="F162"/>
  <c r="L162" s="1"/>
  <c r="K188"/>
  <c r="F188"/>
  <c r="F321"/>
  <c r="L321" s="1"/>
  <c r="K321"/>
  <c r="K144"/>
  <c r="F144"/>
  <c r="K14"/>
  <c r="F14"/>
  <c r="L14" s="1"/>
  <c r="L93"/>
  <c r="H94"/>
  <c r="L242"/>
  <c r="E346"/>
  <c r="F43"/>
  <c r="L43" s="1"/>
  <c r="F52"/>
  <c r="L52" s="1"/>
  <c r="H98"/>
  <c r="L98" s="1"/>
  <c r="F161"/>
  <c r="H166"/>
  <c r="L166" s="1"/>
  <c r="F174"/>
  <c r="L174" s="1"/>
  <c r="J182"/>
  <c r="L182" s="1"/>
  <c r="H199"/>
  <c r="H208"/>
  <c r="H353"/>
  <c r="U24" i="12"/>
  <c r="U5" i="13" s="1"/>
  <c r="S64" i="12"/>
  <c r="S7" i="13" s="1"/>
  <c r="H15" i="10"/>
  <c r="H109"/>
  <c r="L109" s="1"/>
  <c r="H179"/>
  <c r="L179" s="1"/>
  <c r="H221"/>
  <c r="L221" s="1"/>
  <c r="K242"/>
  <c r="K252"/>
  <c r="H331"/>
  <c r="F360"/>
  <c r="L360" s="1"/>
  <c r="AC16" i="13"/>
  <c r="E31" i="10"/>
  <c r="K39"/>
  <c r="E51"/>
  <c r="H65"/>
  <c r="L65" s="1"/>
  <c r="F163"/>
  <c r="L163" s="1"/>
  <c r="E198"/>
  <c r="H214"/>
  <c r="H231"/>
  <c r="H245"/>
  <c r="H316"/>
  <c r="K397"/>
  <c r="W24" i="12"/>
  <c r="W5" i="13" s="1"/>
  <c r="AA285" i="12"/>
  <c r="AA17" i="13" s="1"/>
  <c r="I41" i="5"/>
  <c r="K36" i="6"/>
  <c r="H29" i="11"/>
  <c r="I29" s="1"/>
  <c r="H18" i="10"/>
  <c r="K27"/>
  <c r="K35"/>
  <c r="F42"/>
  <c r="K54"/>
  <c r="K58"/>
  <c r="H75"/>
  <c r="L75" s="1"/>
  <c r="H89"/>
  <c r="K93"/>
  <c r="H97"/>
  <c r="L97" s="1"/>
  <c r="E101"/>
  <c r="E115"/>
  <c r="H132"/>
  <c r="L132" s="1"/>
  <c r="F173"/>
  <c r="K185"/>
  <c r="K192"/>
  <c r="H227"/>
  <c r="H251"/>
  <c r="K267"/>
  <c r="K274"/>
  <c r="K278"/>
  <c r="H287"/>
  <c r="E298"/>
  <c r="F308"/>
  <c r="H311"/>
  <c r="L311" s="1"/>
  <c r="H322"/>
  <c r="K341"/>
  <c r="E345"/>
  <c r="H362"/>
  <c r="K373"/>
  <c r="K393"/>
  <c r="H400"/>
  <c r="H407"/>
  <c r="X24" i="12"/>
  <c r="X5" i="13" s="1"/>
  <c r="AE44" i="12"/>
  <c r="AE6" i="13" s="1"/>
  <c r="W44" i="12"/>
  <c r="W6" i="13" s="1"/>
  <c r="K68" i="12"/>
  <c r="S124"/>
  <c r="S10" i="13" s="1"/>
  <c r="X185" i="12"/>
  <c r="X13" i="13" s="1"/>
  <c r="AG15"/>
  <c r="Y15"/>
  <c r="AD285" i="12"/>
  <c r="AD17" i="13" s="1"/>
  <c r="U285" i="12"/>
  <c r="U17" i="13" s="1"/>
  <c r="AJ285" i="12"/>
  <c r="AJ17" i="13" s="1"/>
  <c r="AB285" i="12"/>
  <c r="AB17" i="13" s="1"/>
  <c r="R145" i="12"/>
  <c r="R11" i="13" s="1"/>
  <c r="E32" i="6"/>
  <c r="E102" i="10"/>
  <c r="H127"/>
  <c r="L127" s="1"/>
  <c r="H380"/>
  <c r="S185" i="12"/>
  <c r="S13" i="13" s="1"/>
  <c r="H24" i="6"/>
  <c r="K323" i="10"/>
  <c r="U16" i="13"/>
  <c r="H41" i="5"/>
  <c r="K45" i="10"/>
  <c r="K249"/>
  <c r="E330"/>
  <c r="AF15" i="13"/>
  <c r="H76" i="5"/>
  <c r="H32" i="11"/>
  <c r="I32" s="1"/>
  <c r="H85" i="10"/>
  <c r="L85" s="1"/>
  <c r="H108"/>
  <c r="H111"/>
  <c r="L111" s="1"/>
  <c r="E147"/>
  <c r="H151"/>
  <c r="H165"/>
  <c r="H167"/>
  <c r="L167" s="1"/>
  <c r="E213"/>
  <c r="E243"/>
  <c r="H280"/>
  <c r="L280" s="1"/>
  <c r="H347"/>
  <c r="H385"/>
  <c r="L385" s="1"/>
  <c r="H389"/>
  <c r="L389" s="1"/>
  <c r="H396"/>
  <c r="Y44" i="12"/>
  <c r="Y6" i="13" s="1"/>
  <c r="R44" i="12"/>
  <c r="R6" i="13" s="1"/>
  <c r="Z124" i="12"/>
  <c r="Z10" i="13" s="1"/>
  <c r="S145" i="12"/>
  <c r="S11" i="13" s="1"/>
  <c r="K148" i="12"/>
  <c r="H124" i="10"/>
  <c r="E141"/>
  <c r="F156"/>
  <c r="L156" s="1"/>
  <c r="H168"/>
  <c r="L168" s="1"/>
  <c r="K215"/>
  <c r="H293"/>
  <c r="H408"/>
  <c r="L408" s="1"/>
  <c r="G6" i="7"/>
  <c r="H238" i="10"/>
  <c r="H299"/>
  <c r="K376"/>
  <c r="S104" i="12"/>
  <c r="S9" i="13" s="1"/>
  <c r="V16"/>
  <c r="AI285" i="12"/>
  <c r="AI17" i="13" s="1"/>
  <c r="E30" i="10"/>
  <c r="E50"/>
  <c r="E68"/>
  <c r="E197"/>
  <c r="J24" i="12"/>
  <c r="I5" i="13" s="1"/>
  <c r="J5" s="1"/>
  <c r="K26" i="12"/>
  <c r="J64"/>
  <c r="I7" i="13" s="1"/>
  <c r="J7" s="1"/>
  <c r="R84" i="12"/>
  <c r="R8" i="13" s="1"/>
  <c r="X84" i="12"/>
  <c r="X8" i="13" s="1"/>
  <c r="J84" i="12"/>
  <c r="I8" i="13" s="1"/>
  <c r="J8" s="1"/>
  <c r="U124" i="12"/>
  <c r="U10" i="13" s="1"/>
  <c r="S165" i="12"/>
  <c r="S12" i="13" s="1"/>
  <c r="K149" i="12"/>
  <c r="AG16" i="13"/>
  <c r="Y16"/>
  <c r="F314" i="10"/>
  <c r="S84" i="12"/>
  <c r="S8" i="13" s="1"/>
  <c r="J170" i="10"/>
  <c r="L170" s="1"/>
  <c r="AK16" i="13"/>
  <c r="AE24" i="12"/>
  <c r="AE5" i="13" s="1"/>
  <c r="X15"/>
  <c r="AD16"/>
  <c r="E114" i="10"/>
  <c r="AI24" i="12"/>
  <c r="AI5" i="13" s="1"/>
  <c r="AA24" i="12"/>
  <c r="AA5" i="13" s="1"/>
  <c r="S24" i="12"/>
  <c r="S5" i="13" s="1"/>
  <c r="Y145" i="12"/>
  <c r="Y11" i="13" s="1"/>
  <c r="AJ15"/>
  <c r="AB15"/>
  <c r="T15"/>
  <c r="AH16"/>
  <c r="Z16"/>
  <c r="AG285" i="12"/>
  <c r="AG17" i="13" s="1"/>
  <c r="Y285" i="12"/>
  <c r="Y17" i="13" s="1"/>
  <c r="AE285" i="12"/>
  <c r="AE17" i="13" s="1"/>
  <c r="L13" i="8"/>
  <c r="A13" s="1"/>
  <c r="L35"/>
  <c r="A35" s="1"/>
  <c r="L28"/>
  <c r="AI44" i="12"/>
  <c r="AI6" i="13" s="1"/>
  <c r="AE64" i="12"/>
  <c r="AE7" i="13" s="1"/>
  <c r="AA64" i="12"/>
  <c r="AA7" i="13" s="1"/>
  <c r="AJ104" i="12"/>
  <c r="AJ9" i="13" s="1"/>
  <c r="AF104" i="12"/>
  <c r="AF9" i="13" s="1"/>
  <c r="T104" i="12"/>
  <c r="T9" i="13" s="1"/>
  <c r="K139" i="12"/>
  <c r="AJ24"/>
  <c r="AJ5" i="13" s="1"/>
  <c r="AF24" i="12"/>
  <c r="AF5" i="13" s="1"/>
  <c r="AB24" i="12"/>
  <c r="AB5" i="13" s="1"/>
  <c r="T24" i="12"/>
  <c r="T5" i="13" s="1"/>
  <c r="AK44" i="12"/>
  <c r="AK6" i="13" s="1"/>
  <c r="AG44" i="12"/>
  <c r="AG6" i="13" s="1"/>
  <c r="AC44" i="12"/>
  <c r="AC6" i="13" s="1"/>
  <c r="U44" i="12"/>
  <c r="U6" i="13" s="1"/>
  <c r="AH44" i="12"/>
  <c r="AH6" i="13" s="1"/>
  <c r="AD44" i="12"/>
  <c r="AD6" i="13" s="1"/>
  <c r="AK124" i="12"/>
  <c r="AK10" i="13" s="1"/>
  <c r="AG124" i="12"/>
  <c r="AG10" i="13" s="1"/>
  <c r="AC124" i="12"/>
  <c r="AC10" i="13" s="1"/>
  <c r="AI165" i="12"/>
  <c r="AI12" i="13" s="1"/>
  <c r="AA165" i="12"/>
  <c r="AA12" i="13" s="1"/>
  <c r="W165" i="12"/>
  <c r="W12" i="13" s="1"/>
  <c r="AK24" i="12"/>
  <c r="AK5" i="13" s="1"/>
  <c r="AG24" i="12"/>
  <c r="AG5" i="13" s="1"/>
  <c r="AC24" i="12"/>
  <c r="AC5" i="13" s="1"/>
  <c r="AA84" i="12"/>
  <c r="AA8" i="13" s="1"/>
  <c r="W84" i="12"/>
  <c r="W8" i="13" s="1"/>
  <c r="AH124" i="12"/>
  <c r="AH10" i="13" s="1"/>
  <c r="AK165" i="12"/>
  <c r="AK12" i="13" s="1"/>
  <c r="AG165" i="12"/>
  <c r="AG12" i="13" s="1"/>
  <c r="AC165" i="12"/>
  <c r="AC12" i="13" s="1"/>
  <c r="U165" i="12"/>
  <c r="U12" i="13" s="1"/>
  <c r="AA44" i="12"/>
  <c r="AA6" i="13" s="1"/>
  <c r="AH64" i="12"/>
  <c r="AH7" i="13" s="1"/>
  <c r="AD64" i="12"/>
  <c r="AD7" i="13" s="1"/>
  <c r="Z64" i="12"/>
  <c r="Z7" i="13" s="1"/>
  <c r="V64" i="12"/>
  <c r="V7" i="13" s="1"/>
  <c r="AI64" i="12"/>
  <c r="AI7" i="13" s="1"/>
  <c r="W64" i="12"/>
  <c r="W7" i="13" s="1"/>
  <c r="AH84" i="12"/>
  <c r="AH8" i="13" s="1"/>
  <c r="AD84" i="12"/>
  <c r="AD8" i="13" s="1"/>
  <c r="Z84" i="12"/>
  <c r="Z8" i="13" s="1"/>
  <c r="V84" i="12"/>
  <c r="V8" i="13" s="1"/>
  <c r="K66" i="12"/>
  <c r="AI84"/>
  <c r="AI8" i="13" s="1"/>
  <c r="AE84" i="12"/>
  <c r="AE8" i="13" s="1"/>
  <c r="AB104" i="12"/>
  <c r="AB9" i="13" s="1"/>
  <c r="K91" i="12"/>
  <c r="AI124"/>
  <c r="AI10" i="13" s="1"/>
  <c r="AE124" i="12"/>
  <c r="AE10" i="13" s="1"/>
  <c r="AA124" i="12"/>
  <c r="AA10" i="13" s="1"/>
  <c r="W124" i="12"/>
  <c r="W10" i="13" s="1"/>
  <c r="AE145" i="12"/>
  <c r="AE11" i="13" s="1"/>
  <c r="W145" i="12"/>
  <c r="W11" i="13" s="1"/>
  <c r="AE165" i="12"/>
  <c r="AE12" i="13" s="1"/>
  <c r="AJ185" i="12"/>
  <c r="AJ13" i="13" s="1"/>
  <c r="AF185" i="12"/>
  <c r="AF13" i="13" s="1"/>
  <c r="AB185" i="12"/>
  <c r="AB13" i="13" s="1"/>
  <c r="AJ14"/>
  <c r="AF14"/>
  <c r="AB14"/>
  <c r="X14"/>
  <c r="T14"/>
  <c r="AI15"/>
  <c r="AE15"/>
  <c r="AA15"/>
  <c r="W15"/>
  <c r="S15"/>
  <c r="AJ16"/>
  <c r="AF16"/>
  <c r="AB16"/>
  <c r="X16"/>
  <c r="T16"/>
  <c r="W285" i="12"/>
  <c r="W17" i="13" s="1"/>
  <c r="S285" i="12"/>
  <c r="S17" i="13" s="1"/>
  <c r="AI145" i="12"/>
  <c r="AI11" i="13" s="1"/>
  <c r="AA145" i="12"/>
  <c r="AA11" i="13" s="1"/>
  <c r="AK145" i="12"/>
  <c r="AK11" i="13" s="1"/>
  <c r="AG145" i="12"/>
  <c r="AG11" i="13" s="1"/>
  <c r="AC145" i="12"/>
  <c r="AC11" i="13" s="1"/>
  <c r="U145" i="12"/>
  <c r="U11" i="13" s="1"/>
  <c r="AH14"/>
  <c r="AD14"/>
  <c r="Z14"/>
  <c r="V14"/>
  <c r="AK14"/>
  <c r="AG14"/>
  <c r="AC14"/>
  <c r="Y14"/>
  <c r="U14"/>
  <c r="AH24" i="12"/>
  <c r="AH5" i="13" s="1"/>
  <c r="AD24" i="12"/>
  <c r="AD5" i="13" s="1"/>
  <c r="Z24" i="12"/>
  <c r="Z5" i="13" s="1"/>
  <c r="V24" i="12"/>
  <c r="V5" i="13" s="1"/>
  <c r="Z44" i="12"/>
  <c r="Z6" i="13" s="1"/>
  <c r="V44" i="12"/>
  <c r="V6" i="13" s="1"/>
  <c r="AK64" i="12"/>
  <c r="AK7" i="13" s="1"/>
  <c r="AG64" i="12"/>
  <c r="AG7" i="13" s="1"/>
  <c r="AC64" i="12"/>
  <c r="AC7" i="13" s="1"/>
  <c r="U64" i="12"/>
  <c r="U7" i="13" s="1"/>
  <c r="AF84" i="12"/>
  <c r="AF8" i="13" s="1"/>
  <c r="AB84" i="12"/>
  <c r="AB8" i="13" s="1"/>
  <c r="AI104" i="12"/>
  <c r="AI9" i="13" s="1"/>
  <c r="AE104" i="12"/>
  <c r="AE9" i="13" s="1"/>
  <c r="AA104" i="12"/>
  <c r="AA9" i="13" s="1"/>
  <c r="W104" i="12"/>
  <c r="W9" i="13" s="1"/>
  <c r="AK104" i="12"/>
  <c r="AK9" i="13" s="1"/>
  <c r="AG104" i="12"/>
  <c r="AG9" i="13" s="1"/>
  <c r="AC104" i="12"/>
  <c r="AC9" i="13" s="1"/>
  <c r="Y104" i="12"/>
  <c r="Y9" i="13" s="1"/>
  <c r="U104" i="12"/>
  <c r="U9" i="13" s="1"/>
  <c r="V124" i="12"/>
  <c r="V10" i="13" s="1"/>
  <c r="AH145" i="12"/>
  <c r="AH11" i="13" s="1"/>
  <c r="AD145" i="12"/>
  <c r="AD11" i="13" s="1"/>
  <c r="Z145" i="12"/>
  <c r="Z11" i="13" s="1"/>
  <c r="V145" i="12"/>
  <c r="V11" i="13" s="1"/>
  <c r="K126" i="12"/>
  <c r="K134"/>
  <c r="AI185"/>
  <c r="AI13" i="13" s="1"/>
  <c r="AE185" i="12"/>
  <c r="AE13" i="13" s="1"/>
  <c r="AA185" i="12"/>
  <c r="AA13" i="13" s="1"/>
  <c r="W185" i="12"/>
  <c r="W13" i="13" s="1"/>
  <c r="AI14"/>
  <c r="AE14"/>
  <c r="AA14"/>
  <c r="W14"/>
  <c r="S14"/>
  <c r="AH15"/>
  <c r="AD15"/>
  <c r="Z15"/>
  <c r="V15"/>
  <c r="AI16"/>
  <c r="AE16"/>
  <c r="AA16"/>
  <c r="W16"/>
  <c r="S16"/>
  <c r="V285" i="12"/>
  <c r="V17" i="13" s="1"/>
  <c r="R285" i="12"/>
  <c r="R17" i="13" s="1"/>
  <c r="R64" i="12"/>
  <c r="R7" i="13" s="1"/>
  <c r="L66" i="12"/>
  <c r="K92"/>
  <c r="H92"/>
  <c r="L126"/>
  <c r="J44"/>
  <c r="I6" i="13" s="1"/>
  <c r="J6" s="1"/>
  <c r="R6" i="12"/>
  <c r="L26"/>
  <c r="AJ64"/>
  <c r="AJ7" i="13" s="1"/>
  <c r="AF64" i="12"/>
  <c r="AF7" i="13" s="1"/>
  <c r="AB64" i="12"/>
  <c r="AB7" i="13" s="1"/>
  <c r="X64" i="12"/>
  <c r="X7" i="13" s="1"/>
  <c r="T64" i="12"/>
  <c r="T7" i="13" s="1"/>
  <c r="J124" i="12"/>
  <c r="I10" i="13" s="1"/>
  <c r="J10" s="1"/>
  <c r="K135" i="12"/>
  <c r="J145"/>
  <c r="I11" i="13" s="1"/>
  <c r="J11" s="1"/>
  <c r="AH185" i="12"/>
  <c r="AH13" i="13" s="1"/>
  <c r="AD185" i="12"/>
  <c r="AD13" i="13" s="1"/>
  <c r="Z185" i="12"/>
  <c r="Z13" i="13" s="1"/>
  <c r="V185" i="12"/>
  <c r="V13" i="13" s="1"/>
  <c r="R185" i="12"/>
  <c r="R13" i="13" s="1"/>
  <c r="AF44" i="12"/>
  <c r="AF6" i="13" s="1"/>
  <c r="AB44" i="12"/>
  <c r="AB6" i="13" s="1"/>
  <c r="X44" i="12"/>
  <c r="X6" i="13" s="1"/>
  <c r="T44" i="12"/>
  <c r="T6" i="13" s="1"/>
  <c r="AK84" i="12"/>
  <c r="AK8" i="13" s="1"/>
  <c r="AG84" i="12"/>
  <c r="AG8" i="13" s="1"/>
  <c r="AC84" i="12"/>
  <c r="AC8" i="13" s="1"/>
  <c r="Y84" i="12"/>
  <c r="Y8" i="13" s="1"/>
  <c r="U84" i="12"/>
  <c r="U8" i="13" s="1"/>
  <c r="AH104" i="12"/>
  <c r="AH9" i="13" s="1"/>
  <c r="AD104" i="12"/>
  <c r="AD9" i="13" s="1"/>
  <c r="Z104" i="12"/>
  <c r="Z9" i="13" s="1"/>
  <c r="V104" i="12"/>
  <c r="V9" i="13" s="1"/>
  <c r="AJ145" i="12"/>
  <c r="AJ11" i="13" s="1"/>
  <c r="AF145" i="12"/>
  <c r="AF11" i="13" s="1"/>
  <c r="AB145" i="12"/>
  <c r="AB11" i="13" s="1"/>
  <c r="X145" i="12"/>
  <c r="X11" i="13" s="1"/>
  <c r="T145" i="12"/>
  <c r="T11" i="13" s="1"/>
  <c r="AJ165" i="12"/>
  <c r="AJ12" i="13" s="1"/>
  <c r="AF165" i="12"/>
  <c r="AF12" i="13" s="1"/>
  <c r="AB165" i="12"/>
  <c r="AB12" i="13" s="1"/>
  <c r="X165" i="12"/>
  <c r="X12" i="13" s="1"/>
  <c r="T165" i="12"/>
  <c r="T12" i="13" s="1"/>
  <c r="F106" i="12"/>
  <c r="K106"/>
  <c r="AL24" i="13"/>
  <c r="AJ124" i="12"/>
  <c r="AJ10" i="13" s="1"/>
  <c r="AF124" i="12"/>
  <c r="AF10" i="13" s="1"/>
  <c r="AB124" i="12"/>
  <c r="AB10" i="13" s="1"/>
  <c r="X124" i="12"/>
  <c r="X10" i="13" s="1"/>
  <c r="T124" i="12"/>
  <c r="T10" i="13" s="1"/>
  <c r="AH165" i="12"/>
  <c r="AH12" i="13" s="1"/>
  <c r="AD165" i="12"/>
  <c r="AD12" i="13" s="1"/>
  <c r="Z165" i="12"/>
  <c r="Z12" i="13" s="1"/>
  <c r="V165" i="12"/>
  <c r="V12" i="13" s="1"/>
  <c r="AK185" i="12"/>
  <c r="AK13" i="13" s="1"/>
  <c r="AG185" i="12"/>
  <c r="AG13" i="13" s="1"/>
  <c r="AC185" i="12"/>
  <c r="AC13" i="13" s="1"/>
  <c r="Y185" i="12"/>
  <c r="Y13" i="13" s="1"/>
  <c r="U185" i="12"/>
  <c r="U13" i="13" s="1"/>
  <c r="K155" i="12"/>
  <c r="L155"/>
  <c r="J267"/>
  <c r="J185"/>
  <c r="I13" i="13" s="1"/>
  <c r="J13" s="1"/>
  <c r="L149" i="12"/>
  <c r="L148"/>
  <c r="L139"/>
  <c r="L135"/>
  <c r="L134"/>
  <c r="L91"/>
  <c r="L68"/>
  <c r="J73" i="11"/>
  <c r="K73" s="1"/>
  <c r="F352" i="10"/>
  <c r="L352" s="1"/>
  <c r="F291"/>
  <c r="H39" i="11"/>
  <c r="I39" s="1"/>
  <c r="H31"/>
  <c r="I31" s="1"/>
  <c r="H9"/>
  <c r="I9" s="1"/>
  <c r="F8" i="10"/>
  <c r="L8" s="1"/>
  <c r="F6"/>
  <c r="L62" i="11"/>
  <c r="K60"/>
  <c r="M62"/>
  <c r="K76"/>
  <c r="J12" i="6"/>
  <c r="H378" i="10" l="1"/>
  <c r="G370" s="1"/>
  <c r="H370" s="1"/>
  <c r="R24" i="12"/>
  <c r="R5" i="13" s="1"/>
  <c r="L8" i="12"/>
  <c r="L21" i="10"/>
  <c r="H23"/>
  <c r="H7" i="11" s="1"/>
  <c r="H270" i="10"/>
  <c r="G255" s="1"/>
  <c r="H255" s="1"/>
  <c r="H276"/>
  <c r="H52" i="11" s="1"/>
  <c r="I52" s="1"/>
  <c r="H48" i="10"/>
  <c r="H12" i="11" s="1"/>
  <c r="I12" s="1"/>
  <c r="H46" i="12" s="1"/>
  <c r="H71" i="10"/>
  <c r="H16" i="11" s="1"/>
  <c r="I16" s="1"/>
  <c r="E342" i="10"/>
  <c r="K342" s="1"/>
  <c r="H247"/>
  <c r="E55"/>
  <c r="K55" s="1"/>
  <c r="H104"/>
  <c r="F269"/>
  <c r="L269" s="1"/>
  <c r="H195"/>
  <c r="H40" i="11" s="1"/>
  <c r="I40" s="1"/>
  <c r="H127" i="12" s="1"/>
  <c r="H282" i="10"/>
  <c r="G258" s="1"/>
  <c r="H258" s="1"/>
  <c r="E222"/>
  <c r="K222" s="1"/>
  <c r="H56"/>
  <c r="H13" i="11" s="1"/>
  <c r="I13" s="1"/>
  <c r="E281" i="10"/>
  <c r="K281" s="1"/>
  <c r="H37"/>
  <c r="H10" i="11" s="1"/>
  <c r="I10" s="1"/>
  <c r="H28" i="12" s="1"/>
  <c r="E275" i="10"/>
  <c r="K275" s="1"/>
  <c r="M73" i="11"/>
  <c r="E375" i="10"/>
  <c r="E47"/>
  <c r="K47" s="1"/>
  <c r="L26"/>
  <c r="H28"/>
  <c r="H8" i="11" s="1"/>
  <c r="I8" s="1"/>
  <c r="H27" i="12" s="1"/>
  <c r="F60" i="10"/>
  <c r="F61" s="1"/>
  <c r="F14" i="11" s="1"/>
  <c r="G14" s="1"/>
  <c r="F47" i="12" s="1"/>
  <c r="Y24" i="13"/>
  <c r="L394" i="10"/>
  <c r="H390"/>
  <c r="H72" i="11" s="1"/>
  <c r="H223" i="10"/>
  <c r="G259" s="1"/>
  <c r="H259" s="1"/>
  <c r="L403"/>
  <c r="H404"/>
  <c r="K170" i="12"/>
  <c r="F253" i="10"/>
  <c r="F49" i="11" s="1"/>
  <c r="G49" s="1"/>
  <c r="F138" i="12" s="1"/>
  <c r="L6" i="10"/>
  <c r="F16"/>
  <c r="F5" i="11" s="1"/>
  <c r="L291" i="10"/>
  <c r="E292"/>
  <c r="F30"/>
  <c r="K30"/>
  <c r="L238"/>
  <c r="H240"/>
  <c r="K243"/>
  <c r="F243"/>
  <c r="F247" s="1"/>
  <c r="L108"/>
  <c r="H112"/>
  <c r="H24" i="11" s="1"/>
  <c r="I24" s="1"/>
  <c r="H67" i="12" s="1"/>
  <c r="E110" i="10"/>
  <c r="L407"/>
  <c r="E409"/>
  <c r="H410"/>
  <c r="H77" i="11" s="1"/>
  <c r="I77" s="1"/>
  <c r="H16" i="13" s="1"/>
  <c r="L322" i="10"/>
  <c r="H324"/>
  <c r="L251"/>
  <c r="H253"/>
  <c r="L42"/>
  <c r="L214"/>
  <c r="H217"/>
  <c r="E216"/>
  <c r="K31"/>
  <c r="F31"/>
  <c r="L31" s="1"/>
  <c r="L208"/>
  <c r="H211"/>
  <c r="E210"/>
  <c r="L225"/>
  <c r="F228"/>
  <c r="F45" i="11" s="1"/>
  <c r="L236" i="10"/>
  <c r="F240"/>
  <c r="F47" i="11" s="1"/>
  <c r="L359" i="10"/>
  <c r="F363"/>
  <c r="F66" i="11" s="1"/>
  <c r="L314" i="10"/>
  <c r="F318"/>
  <c r="F50"/>
  <c r="K50"/>
  <c r="L299"/>
  <c r="H301"/>
  <c r="L24" i="6"/>
  <c r="H25"/>
  <c r="L25" s="1"/>
  <c r="H26"/>
  <c r="K115" i="10"/>
  <c r="F115"/>
  <c r="L115" s="1"/>
  <c r="L231"/>
  <c r="E233"/>
  <c r="H234"/>
  <c r="L353"/>
  <c r="H357"/>
  <c r="E356"/>
  <c r="E355"/>
  <c r="L188"/>
  <c r="F189"/>
  <c r="L230"/>
  <c r="L202"/>
  <c r="L266"/>
  <c r="F270"/>
  <c r="L73" i="11"/>
  <c r="AG24" i="13"/>
  <c r="K101" i="10"/>
  <c r="F101"/>
  <c r="K198"/>
  <c r="F198"/>
  <c r="L198" s="1"/>
  <c r="L199"/>
  <c r="H200"/>
  <c r="L297"/>
  <c r="K32" i="6"/>
  <c r="F32"/>
  <c r="L284" i="10"/>
  <c r="L350"/>
  <c r="F68"/>
  <c r="K68"/>
  <c r="L293"/>
  <c r="E294"/>
  <c r="H295"/>
  <c r="H55" i="11" s="1"/>
  <c r="I55" s="1"/>
  <c r="H142" i="12" s="1"/>
  <c r="K147" i="10"/>
  <c r="F147"/>
  <c r="L362"/>
  <c r="H363"/>
  <c r="L173"/>
  <c r="L316"/>
  <c r="H318"/>
  <c r="L161"/>
  <c r="L94"/>
  <c r="G81"/>
  <c r="H21" i="11"/>
  <c r="L191" i="10"/>
  <c r="F195"/>
  <c r="F40" i="11" s="1"/>
  <c r="F114" i="10"/>
  <c r="K114"/>
  <c r="F197"/>
  <c r="K197"/>
  <c r="L151"/>
  <c r="H152"/>
  <c r="F102"/>
  <c r="L102" s="1"/>
  <c r="K102"/>
  <c r="L287"/>
  <c r="H289"/>
  <c r="E288"/>
  <c r="L89"/>
  <c r="H90"/>
  <c r="L18"/>
  <c r="H19"/>
  <c r="L331"/>
  <c r="H334"/>
  <c r="E333"/>
  <c r="L17" i="6"/>
  <c r="J26"/>
  <c r="J18"/>
  <c r="L18" s="1"/>
  <c r="L272" i="10"/>
  <c r="H69" i="11"/>
  <c r="I69" s="1"/>
  <c r="AD24" i="13"/>
  <c r="J15"/>
  <c r="E176" i="10"/>
  <c r="L12" i="6"/>
  <c r="J13"/>
  <c r="L13" s="1"/>
  <c r="J14"/>
  <c r="K345" i="10"/>
  <c r="F345"/>
  <c r="K51"/>
  <c r="F51"/>
  <c r="L51" s="1"/>
  <c r="L320"/>
  <c r="F324"/>
  <c r="L138"/>
  <c r="F139"/>
  <c r="G256"/>
  <c r="H256" s="1"/>
  <c r="L124"/>
  <c r="H128"/>
  <c r="E126"/>
  <c r="L396"/>
  <c r="H398"/>
  <c r="H171"/>
  <c r="L165"/>
  <c r="E164"/>
  <c r="K298"/>
  <c r="F298"/>
  <c r="L298" s="1"/>
  <c r="L15"/>
  <c r="H16"/>
  <c r="L144"/>
  <c r="F145"/>
  <c r="L20" i="6"/>
  <c r="E21"/>
  <c r="H8" i="7"/>
  <c r="I8" s="1"/>
  <c r="N19" i="8"/>
  <c r="R15" i="13"/>
  <c r="H183" i="10"/>
  <c r="K213"/>
  <c r="F213"/>
  <c r="K330"/>
  <c r="F330"/>
  <c r="L400"/>
  <c r="H401"/>
  <c r="L227"/>
  <c r="H228"/>
  <c r="L118"/>
  <c r="F120"/>
  <c r="L347"/>
  <c r="H348"/>
  <c r="L245"/>
  <c r="H38" i="11"/>
  <c r="L186" i="10"/>
  <c r="L29" i="6"/>
  <c r="J38"/>
  <c r="J30"/>
  <c r="L30" s="1"/>
  <c r="K141" i="10"/>
  <c r="F141"/>
  <c r="G130"/>
  <c r="H130" s="1"/>
  <c r="L380"/>
  <c r="H382"/>
  <c r="L308"/>
  <c r="E309"/>
  <c r="F346"/>
  <c r="L346" s="1"/>
  <c r="K346"/>
  <c r="L150"/>
  <c r="F152"/>
  <c r="F34" i="11" s="1"/>
  <c r="L7" i="6"/>
  <c r="J8"/>
  <c r="L8" s="1"/>
  <c r="J9"/>
  <c r="L135" i="10"/>
  <c r="F136"/>
  <c r="L40"/>
  <c r="H11" i="11"/>
  <c r="H51"/>
  <c r="I51" s="1"/>
  <c r="L219" i="10"/>
  <c r="H14" i="11"/>
  <c r="I14" s="1"/>
  <c r="H47" i="12" s="1"/>
  <c r="H386" i="10"/>
  <c r="H86"/>
  <c r="A28" i="8"/>
  <c r="L31"/>
  <c r="S24" i="13"/>
  <c r="AE24"/>
  <c r="AA24"/>
  <c r="W24"/>
  <c r="U24"/>
  <c r="AI24"/>
  <c r="Z24"/>
  <c r="T24"/>
  <c r="I7" i="14" s="1"/>
  <c r="AJ24" i="13"/>
  <c r="V24"/>
  <c r="AK24"/>
  <c r="AF24"/>
  <c r="H14"/>
  <c r="AH24"/>
  <c r="AB24"/>
  <c r="AC24"/>
  <c r="L267" i="12"/>
  <c r="L106"/>
  <c r="H15" i="13"/>
  <c r="F13"/>
  <c r="L92" i="12"/>
  <c r="I7" i="11" l="1"/>
  <c r="L7"/>
  <c r="L23" i="10"/>
  <c r="F342"/>
  <c r="L342" s="1"/>
  <c r="L60"/>
  <c r="H53" i="11"/>
  <c r="I53" s="1"/>
  <c r="F55" i="10"/>
  <c r="L55" s="1"/>
  <c r="X267" i="12"/>
  <c r="G78" i="10"/>
  <c r="H78" s="1"/>
  <c r="G73"/>
  <c r="H73" s="1"/>
  <c r="H76" s="1"/>
  <c r="G63"/>
  <c r="H63" s="1"/>
  <c r="H66" s="1"/>
  <c r="H15" i="11" s="1"/>
  <c r="I15" s="1"/>
  <c r="H48" i="12" s="1"/>
  <c r="F222" i="10"/>
  <c r="L222" s="1"/>
  <c r="H23" i="11"/>
  <c r="I23" s="1"/>
  <c r="G96" i="10"/>
  <c r="H96" s="1"/>
  <c r="H99" s="1"/>
  <c r="H22" i="11" s="1"/>
  <c r="I22" s="1"/>
  <c r="H51" i="12" s="1"/>
  <c r="H44" i="11"/>
  <c r="I44" s="1"/>
  <c r="F281" i="10"/>
  <c r="L281" s="1"/>
  <c r="F47"/>
  <c r="F275"/>
  <c r="L275" s="1"/>
  <c r="K375"/>
  <c r="F375"/>
  <c r="K47" i="12"/>
  <c r="M14" i="11"/>
  <c r="F223" i="10"/>
  <c r="E259" s="1"/>
  <c r="H76" i="11"/>
  <c r="L404" i="10"/>
  <c r="I72" i="11"/>
  <c r="L72"/>
  <c r="L390" i="10"/>
  <c r="L141"/>
  <c r="F142"/>
  <c r="K309"/>
  <c r="F309"/>
  <c r="L309" s="1"/>
  <c r="O19" i="8"/>
  <c r="J8" i="7"/>
  <c r="K8" s="1"/>
  <c r="E107" i="10"/>
  <c r="E123"/>
  <c r="F26" i="11"/>
  <c r="L120" i="10"/>
  <c r="L213"/>
  <c r="H27" i="11"/>
  <c r="I27" s="1"/>
  <c r="H69" i="12" s="1"/>
  <c r="H81" i="10"/>
  <c r="L81" s="1"/>
  <c r="K81"/>
  <c r="L363"/>
  <c r="H66" i="11"/>
  <c r="I66" s="1"/>
  <c r="H158" i="12" s="1"/>
  <c r="L68" i="10"/>
  <c r="F71"/>
  <c r="H65" i="11"/>
  <c r="I65" s="1"/>
  <c r="H157" i="12" s="1"/>
  <c r="L66" i="11"/>
  <c r="G66"/>
  <c r="L253" i="10"/>
  <c r="H49" i="11"/>
  <c r="F29"/>
  <c r="L136" i="10"/>
  <c r="C42" i="8"/>
  <c r="A42"/>
  <c r="K126" i="10"/>
  <c r="F126"/>
  <c r="L126" s="1"/>
  <c r="K176"/>
  <c r="F176"/>
  <c r="H61" i="11"/>
  <c r="I61" s="1"/>
  <c r="H152" i="12" s="1"/>
  <c r="L114" i="10"/>
  <c r="F116"/>
  <c r="I21" i="11"/>
  <c r="M21" s="1"/>
  <c r="L21"/>
  <c r="K356" i="10"/>
  <c r="F356"/>
  <c r="L356" s="1"/>
  <c r="H7" i="7"/>
  <c r="I7" s="1"/>
  <c r="N7" i="8"/>
  <c r="H42" i="11"/>
  <c r="I42" s="1"/>
  <c r="H129" i="12" s="1"/>
  <c r="L61" i="10"/>
  <c r="F301"/>
  <c r="F56" i="11" s="1"/>
  <c r="H41"/>
  <c r="I41" s="1"/>
  <c r="H128" i="12" s="1"/>
  <c r="K110" i="10"/>
  <c r="F110"/>
  <c r="L110" s="1"/>
  <c r="H64" i="11"/>
  <c r="I64" s="1"/>
  <c r="G338" i="10"/>
  <c r="H338" s="1"/>
  <c r="L330"/>
  <c r="R14" i="13"/>
  <c r="J14"/>
  <c r="F60" i="11"/>
  <c r="E304" i="10"/>
  <c r="H54" i="11"/>
  <c r="I54" s="1"/>
  <c r="H141" i="12" s="1"/>
  <c r="E255" i="10"/>
  <c r="F51" i="11"/>
  <c r="E307" i="10"/>
  <c r="F59" i="11"/>
  <c r="K210" i="10"/>
  <c r="F210"/>
  <c r="L240"/>
  <c r="H47" i="11"/>
  <c r="I47" s="1"/>
  <c r="H136" i="12" s="1"/>
  <c r="L86" i="10"/>
  <c r="H19" i="11"/>
  <c r="G79" i="10"/>
  <c r="I11" i="11"/>
  <c r="L11"/>
  <c r="L398" i="10"/>
  <c r="H74" i="11"/>
  <c r="K288" i="10"/>
  <c r="F288"/>
  <c r="L197"/>
  <c r="F200"/>
  <c r="F41" i="11" s="1"/>
  <c r="G40"/>
  <c r="L40"/>
  <c r="K294" i="10"/>
  <c r="F294"/>
  <c r="L294" s="1"/>
  <c r="L32" i="6"/>
  <c r="E33"/>
  <c r="L101" i="10"/>
  <c r="F104"/>
  <c r="L50"/>
  <c r="K409"/>
  <c r="F409"/>
  <c r="G5" i="11"/>
  <c r="G34"/>
  <c r="H133" i="10"/>
  <c r="H48" i="11"/>
  <c r="I48" s="1"/>
  <c r="H137" i="12" s="1"/>
  <c r="L401" i="10"/>
  <c r="H75" i="11"/>
  <c r="F32"/>
  <c r="L145" i="10"/>
  <c r="H36" i="11"/>
  <c r="I36" s="1"/>
  <c r="G157" i="10"/>
  <c r="H157" s="1"/>
  <c r="F30" i="11"/>
  <c r="L139" i="10"/>
  <c r="I406"/>
  <c r="J6" i="7"/>
  <c r="L14" i="6"/>
  <c r="J7" i="7"/>
  <c r="K7" s="1"/>
  <c r="O7" i="8"/>
  <c r="L318" i="10"/>
  <c r="H59" i="11"/>
  <c r="I59" s="1"/>
  <c r="G307" i="10"/>
  <c r="H307" s="1"/>
  <c r="H312" s="1"/>
  <c r="H58" i="11" s="1"/>
  <c r="I58" s="1"/>
  <c r="H154" i="12" s="1"/>
  <c r="F39" i="11"/>
  <c r="L189" i="10"/>
  <c r="G45" i="11"/>
  <c r="G257" i="10"/>
  <c r="H257" s="1"/>
  <c r="H260" s="1"/>
  <c r="H50" i="11" s="1"/>
  <c r="H43"/>
  <c r="I43" s="1"/>
  <c r="H130" i="12" s="1"/>
  <c r="L243" i="10"/>
  <c r="F48" i="11"/>
  <c r="L47" i="12"/>
  <c r="L270" i="10"/>
  <c r="L195"/>
  <c r="L30"/>
  <c r="F32"/>
  <c r="L386"/>
  <c r="H71" i="11"/>
  <c r="K333" i="10"/>
  <c r="F333"/>
  <c r="L333" s="1"/>
  <c r="L90"/>
  <c r="G80"/>
  <c r="H20" i="11"/>
  <c r="K233" i="10"/>
  <c r="F233"/>
  <c r="K216"/>
  <c r="F216"/>
  <c r="L216" s="1"/>
  <c r="I181"/>
  <c r="I169"/>
  <c r="J5" i="7"/>
  <c r="L9" i="6"/>
  <c r="L19" i="10"/>
  <c r="H6" i="11"/>
  <c r="L16" i="10"/>
  <c r="H5" i="11"/>
  <c r="I5" s="1"/>
  <c r="H6" i="12" s="1"/>
  <c r="K355" i="10"/>
  <c r="F355"/>
  <c r="I38" i="11"/>
  <c r="L38"/>
  <c r="H70"/>
  <c r="L382" i="10"/>
  <c r="L228"/>
  <c r="H45" i="11"/>
  <c r="I45" s="1"/>
  <c r="H132" i="12" s="1"/>
  <c r="H37" i="11"/>
  <c r="I37" s="1"/>
  <c r="G369" i="10"/>
  <c r="H369" s="1"/>
  <c r="H371" s="1"/>
  <c r="G158"/>
  <c r="H158" s="1"/>
  <c r="K21" i="6"/>
  <c r="F21"/>
  <c r="K164" i="10"/>
  <c r="F164"/>
  <c r="L345"/>
  <c r="F348"/>
  <c r="L348" s="1"/>
  <c r="L152"/>
  <c r="H34" i="11"/>
  <c r="I34" s="1"/>
  <c r="H93" i="12" s="1"/>
  <c r="H131"/>
  <c r="L147" i="10"/>
  <c r="F148"/>
  <c r="H46" i="11"/>
  <c r="I46" s="1"/>
  <c r="H133" i="12" s="1"/>
  <c r="H56" i="11"/>
  <c r="I56" s="1"/>
  <c r="H143" i="12" s="1"/>
  <c r="G47" i="11"/>
  <c r="L324" i="10"/>
  <c r="G304"/>
  <c r="H304" s="1"/>
  <c r="H60" i="11"/>
  <c r="I60" s="1"/>
  <c r="K292" i="10"/>
  <c r="F292"/>
  <c r="L14" i="11"/>
  <c r="A31" i="8"/>
  <c r="L34"/>
  <c r="M7" i="11" l="1"/>
  <c r="F56" i="10"/>
  <c r="F13" i="11" s="1"/>
  <c r="F44"/>
  <c r="G44" s="1"/>
  <c r="L223" i="10"/>
  <c r="G303"/>
  <c r="H303" s="1"/>
  <c r="F276"/>
  <c r="F52" i="11" s="1"/>
  <c r="L52" s="1"/>
  <c r="F282" i="10"/>
  <c r="E258" s="1"/>
  <c r="L47"/>
  <c r="F48"/>
  <c r="L301"/>
  <c r="L375"/>
  <c r="F378"/>
  <c r="H159"/>
  <c r="H35" i="11" s="1"/>
  <c r="L34"/>
  <c r="M72"/>
  <c r="F217" i="10"/>
  <c r="F43" i="11" s="1"/>
  <c r="I76"/>
  <c r="L76"/>
  <c r="L200" i="10"/>
  <c r="F33" i="11"/>
  <c r="L148" i="10"/>
  <c r="G48" i="11"/>
  <c r="L48"/>
  <c r="G39"/>
  <c r="L39"/>
  <c r="I75"/>
  <c r="L75"/>
  <c r="L210" i="10"/>
  <c r="F211"/>
  <c r="E25"/>
  <c r="E34"/>
  <c r="F9" i="11"/>
  <c r="L32" i="10"/>
  <c r="G32" i="11"/>
  <c r="L32"/>
  <c r="F64"/>
  <c r="E338" i="10"/>
  <c r="L355"/>
  <c r="F357"/>
  <c r="L233"/>
  <c r="F234"/>
  <c r="M45" i="11"/>
  <c r="M47"/>
  <c r="I70"/>
  <c r="L70"/>
  <c r="M5"/>
  <c r="K33" i="6"/>
  <c r="F33"/>
  <c r="L288" i="10"/>
  <c r="F289"/>
  <c r="F307"/>
  <c r="K307"/>
  <c r="G26" i="11"/>
  <c r="M26" s="1"/>
  <c r="L26"/>
  <c r="F26" i="6"/>
  <c r="L21"/>
  <c r="F22"/>
  <c r="L22" s="1"/>
  <c r="H17" i="11"/>
  <c r="I17" s="1"/>
  <c r="H49" i="12" s="1"/>
  <c r="G30" i="11"/>
  <c r="L30"/>
  <c r="I19"/>
  <c r="M19" s="1"/>
  <c r="L19"/>
  <c r="G59"/>
  <c r="M59" s="1"/>
  <c r="L59"/>
  <c r="L176" i="10"/>
  <c r="F183"/>
  <c r="I49" i="11"/>
  <c r="L49"/>
  <c r="F31"/>
  <c r="L142" i="10"/>
  <c r="K181"/>
  <c r="J181"/>
  <c r="H80"/>
  <c r="L80" s="1"/>
  <c r="K80"/>
  <c r="G41" i="11"/>
  <c r="L41"/>
  <c r="H79" i="10"/>
  <c r="K79"/>
  <c r="G60" i="11"/>
  <c r="M60" s="1"/>
  <c r="L60"/>
  <c r="F53"/>
  <c r="L282" i="10"/>
  <c r="G56" i="11"/>
  <c r="L56"/>
  <c r="G29"/>
  <c r="L29"/>
  <c r="L247" i="10"/>
  <c r="H305"/>
  <c r="H57" i="11" s="1"/>
  <c r="I57" s="1"/>
  <c r="H147" i="12" s="1"/>
  <c r="L47" i="11"/>
  <c r="L5"/>
  <c r="L164" i="10"/>
  <c r="F171"/>
  <c r="K169"/>
  <c r="J169"/>
  <c r="I20" i="11"/>
  <c r="M20" s="1"/>
  <c r="L20"/>
  <c r="J406" i="10"/>
  <c r="K406"/>
  <c r="E96"/>
  <c r="F23" i="11"/>
  <c r="L104" i="10"/>
  <c r="M40" i="11"/>
  <c r="M11"/>
  <c r="F304" i="10"/>
  <c r="L304" s="1"/>
  <c r="K304"/>
  <c r="F259"/>
  <c r="L259" s="1"/>
  <c r="K259"/>
  <c r="A15" i="8"/>
  <c r="C15"/>
  <c r="E78" i="10"/>
  <c r="F16" i="11"/>
  <c r="E130" i="10"/>
  <c r="E73"/>
  <c r="E63"/>
  <c r="L71"/>
  <c r="K5" i="7"/>
  <c r="M5" s="1"/>
  <c r="L5"/>
  <c r="K6"/>
  <c r="M6" s="1"/>
  <c r="L6"/>
  <c r="M34" i="11"/>
  <c r="L44"/>
  <c r="C44" i="8"/>
  <c r="E42"/>
  <c r="D43"/>
  <c r="A43"/>
  <c r="E122" i="10"/>
  <c r="F25" i="11"/>
  <c r="E106" i="10"/>
  <c r="L116"/>
  <c r="G365"/>
  <c r="H365" s="1"/>
  <c r="H366" s="1"/>
  <c r="H67" i="11" s="1"/>
  <c r="H68"/>
  <c r="I68" s="1"/>
  <c r="M38"/>
  <c r="I71"/>
  <c r="L71"/>
  <c r="I74"/>
  <c r="L74"/>
  <c r="F255" i="10"/>
  <c r="K255"/>
  <c r="F107"/>
  <c r="L107" s="1"/>
  <c r="K107"/>
  <c r="L45" i="11"/>
  <c r="H343" i="10"/>
  <c r="H63" i="11" s="1"/>
  <c r="I63" s="1"/>
  <c r="H156" i="12" s="1"/>
  <c r="L292" i="10"/>
  <c r="F295"/>
  <c r="I6" i="11"/>
  <c r="L6"/>
  <c r="A16" i="8"/>
  <c r="D16"/>
  <c r="H28" i="11"/>
  <c r="I28" s="1"/>
  <c r="H70" i="12" s="1"/>
  <c r="H84" s="1"/>
  <c r="G8" i="13" s="1"/>
  <c r="H8" s="1"/>
  <c r="L409" i="10"/>
  <c r="F410"/>
  <c r="G51" i="11"/>
  <c r="M51" s="1"/>
  <c r="L51"/>
  <c r="M66"/>
  <c r="K123" i="10"/>
  <c r="F123"/>
  <c r="L123" s="1"/>
  <c r="F334"/>
  <c r="A34" i="8"/>
  <c r="L39"/>
  <c r="I50" i="11"/>
  <c r="H7" i="12" l="1"/>
  <c r="K7"/>
  <c r="G52" i="11"/>
  <c r="M52" s="1"/>
  <c r="L56" i="10"/>
  <c r="H269" i="12"/>
  <c r="L269" s="1"/>
  <c r="K269"/>
  <c r="L217" i="10"/>
  <c r="E256"/>
  <c r="L276"/>
  <c r="E257"/>
  <c r="K257" s="1"/>
  <c r="F12" i="11"/>
  <c r="L48" i="10"/>
  <c r="L378"/>
  <c r="E370"/>
  <c r="F69" i="11"/>
  <c r="M76"/>
  <c r="H169" i="12"/>
  <c r="L169" s="1"/>
  <c r="K169"/>
  <c r="M74" i="11"/>
  <c r="L406" i="10"/>
  <c r="J410"/>
  <c r="J77" i="11" s="1"/>
  <c r="K77" s="1"/>
  <c r="F93" i="12"/>
  <c r="L93" s="1"/>
  <c r="K93"/>
  <c r="F96" i="10"/>
  <c r="K96"/>
  <c r="F42" i="11"/>
  <c r="L211" i="10"/>
  <c r="F61" i="11"/>
  <c r="L334" i="10"/>
  <c r="F158" i="12"/>
  <c r="L158" s="1"/>
  <c r="K158"/>
  <c r="E16" i="8"/>
  <c r="D45"/>
  <c r="J5" i="9" s="1"/>
  <c r="K5" s="1"/>
  <c r="J268" i="12" s="1"/>
  <c r="D17" i="8"/>
  <c r="G25" i="11"/>
  <c r="M25" s="1"/>
  <c r="L25"/>
  <c r="F78" i="10"/>
  <c r="K78"/>
  <c r="H29" i="12"/>
  <c r="K29"/>
  <c r="M29" i="11"/>
  <c r="E369" i="10"/>
  <c r="F37" i="11"/>
  <c r="E158" i="10"/>
  <c r="F6" i="12"/>
  <c r="F24" s="1"/>
  <c r="K6"/>
  <c r="G9" i="11"/>
  <c r="M9" s="1"/>
  <c r="L9"/>
  <c r="G33"/>
  <c r="L33"/>
  <c r="G16"/>
  <c r="M16" s="1"/>
  <c r="L16"/>
  <c r="M49"/>
  <c r="F46"/>
  <c r="L234" i="10"/>
  <c r="F130"/>
  <c r="K130"/>
  <c r="L26" i="6"/>
  <c r="M7" i="8"/>
  <c r="F7" i="7"/>
  <c r="F132" i="12"/>
  <c r="L132" s="1"/>
  <c r="K132"/>
  <c r="M32" i="11"/>
  <c r="M48"/>
  <c r="L255" i="10"/>
  <c r="F73"/>
  <c r="K73"/>
  <c r="F258"/>
  <c r="L258" s="1"/>
  <c r="K258"/>
  <c r="F34" i="6"/>
  <c r="L34" s="1"/>
  <c r="L33"/>
  <c r="F38"/>
  <c r="L410" i="10"/>
  <c r="F77" i="11"/>
  <c r="F55"/>
  <c r="L295" i="10"/>
  <c r="G13" i="11"/>
  <c r="L13"/>
  <c r="F63" i="10"/>
  <c r="K63"/>
  <c r="G23" i="11"/>
  <c r="M23" s="1"/>
  <c r="L23"/>
  <c r="E157" i="10"/>
  <c r="F36" i="11"/>
  <c r="G53"/>
  <c r="M53" s="1"/>
  <c r="L53"/>
  <c r="F136" i="12"/>
  <c r="L136" s="1"/>
  <c r="K136"/>
  <c r="G64" i="11"/>
  <c r="M64" s="1"/>
  <c r="L64"/>
  <c r="G43"/>
  <c r="L43"/>
  <c r="M39"/>
  <c r="M6"/>
  <c r="H107" i="12"/>
  <c r="K107"/>
  <c r="M41" i="11"/>
  <c r="F54"/>
  <c r="L289" i="10"/>
  <c r="F338"/>
  <c r="K338"/>
  <c r="F257"/>
  <c r="L257" s="1"/>
  <c r="M44" i="11"/>
  <c r="F127" i="12"/>
  <c r="L127" s="1"/>
  <c r="K127"/>
  <c r="L169" i="10"/>
  <c r="J171"/>
  <c r="M56" i="11"/>
  <c r="L181" i="10"/>
  <c r="J183"/>
  <c r="L183" s="1"/>
  <c r="L307"/>
  <c r="F312"/>
  <c r="M70" i="11"/>
  <c r="F25" i="10"/>
  <c r="K25"/>
  <c r="M75" i="11"/>
  <c r="F106" i="10"/>
  <c r="K106"/>
  <c r="M30" i="11"/>
  <c r="E43" i="8"/>
  <c r="D44"/>
  <c r="G31" i="11"/>
  <c r="L31"/>
  <c r="M71"/>
  <c r="F122" i="10"/>
  <c r="K122"/>
  <c r="E15" i="8"/>
  <c r="C17"/>
  <c r="C45"/>
  <c r="H5" i="9" s="1"/>
  <c r="I5" s="1"/>
  <c r="H82" i="10"/>
  <c r="H18" i="11" s="1"/>
  <c r="I18" s="1"/>
  <c r="L79" i="10"/>
  <c r="F65" i="11"/>
  <c r="L357" i="10"/>
  <c r="K34"/>
  <c r="F34"/>
  <c r="A39" i="8"/>
  <c r="L40"/>
  <c r="A40" s="1"/>
  <c r="I67" i="11"/>
  <c r="I35"/>
  <c r="L7" i="12" l="1"/>
  <c r="H24"/>
  <c r="J285"/>
  <c r="I17" i="13" s="1"/>
  <c r="J17" s="1"/>
  <c r="F256" i="10"/>
  <c r="L256" s="1"/>
  <c r="K256"/>
  <c r="L12" i="11"/>
  <c r="G12"/>
  <c r="F370" i="10"/>
  <c r="L370" s="1"/>
  <c r="K370"/>
  <c r="G69" i="11"/>
  <c r="M69" s="1"/>
  <c r="L69"/>
  <c r="H173" i="12"/>
  <c r="L173" s="1"/>
  <c r="K173"/>
  <c r="F112" i="10"/>
  <c r="L106"/>
  <c r="G77" i="11"/>
  <c r="L77"/>
  <c r="G42"/>
  <c r="L42"/>
  <c r="H171" i="12"/>
  <c r="L171" s="1"/>
  <c r="K171"/>
  <c r="L122" i="10"/>
  <c r="F128"/>
  <c r="F87" i="12"/>
  <c r="L87" s="1"/>
  <c r="K87"/>
  <c r="I157" i="10"/>
  <c r="J157" s="1"/>
  <c r="J36" i="11"/>
  <c r="K36" s="1"/>
  <c r="J95" i="12" s="1"/>
  <c r="G55" i="11"/>
  <c r="L55"/>
  <c r="G46"/>
  <c r="L46"/>
  <c r="F369" i="10"/>
  <c r="F28"/>
  <c r="L25"/>
  <c r="F143" i="12"/>
  <c r="L143" s="1"/>
  <c r="K143"/>
  <c r="H124"/>
  <c r="G10" i="13" s="1"/>
  <c r="H10" s="1"/>
  <c r="L107" i="12"/>
  <c r="K89"/>
  <c r="F89"/>
  <c r="L89" s="1"/>
  <c r="G37" i="11"/>
  <c r="G61"/>
  <c r="L61"/>
  <c r="L34" i="10"/>
  <c r="F37"/>
  <c r="F157"/>
  <c r="M13" i="11"/>
  <c r="F133" i="10"/>
  <c r="L130"/>
  <c r="M33" i="11"/>
  <c r="F158" i="10"/>
  <c r="F82"/>
  <c r="L78"/>
  <c r="R16" i="13"/>
  <c r="J16"/>
  <c r="H172" i="12"/>
  <c r="L172" s="1"/>
  <c r="K172"/>
  <c r="F131"/>
  <c r="L131" s="1"/>
  <c r="K131"/>
  <c r="F128"/>
  <c r="L128" s="1"/>
  <c r="K128"/>
  <c r="M43" i="11"/>
  <c r="G36"/>
  <c r="K137" i="12"/>
  <c r="F137"/>
  <c r="L137" s="1"/>
  <c r="H168"/>
  <c r="L168" s="1"/>
  <c r="K168"/>
  <c r="F66" i="10"/>
  <c r="L63"/>
  <c r="L7" i="7"/>
  <c r="G7"/>
  <c r="M7" s="1"/>
  <c r="F86" i="12"/>
  <c r="K86"/>
  <c r="L65" i="11"/>
  <c r="G65"/>
  <c r="H167" i="12"/>
  <c r="K167"/>
  <c r="F343" i="10"/>
  <c r="L338"/>
  <c r="F76"/>
  <c r="L73"/>
  <c r="M31" i="11"/>
  <c r="I158" i="10"/>
  <c r="J158" s="1"/>
  <c r="I369"/>
  <c r="J369" s="1"/>
  <c r="J371" s="1"/>
  <c r="J37" i="11"/>
  <c r="K37" s="1"/>
  <c r="L6" i="12"/>
  <c r="L29"/>
  <c r="H44"/>
  <c r="G6" i="13" s="1"/>
  <c r="H6" s="1"/>
  <c r="G54" i="11"/>
  <c r="L54"/>
  <c r="F108" i="12"/>
  <c r="K108"/>
  <c r="L38" i="6"/>
  <c r="F8" i="7"/>
  <c r="M19" i="8"/>
  <c r="A14"/>
  <c r="B14"/>
  <c r="F99" i="10"/>
  <c r="L96"/>
  <c r="L171"/>
  <c r="L312"/>
  <c r="F58" i="11"/>
  <c r="E303" i="10"/>
  <c r="H138" i="12"/>
  <c r="L138" s="1"/>
  <c r="K138"/>
  <c r="H268"/>
  <c r="H285" s="1"/>
  <c r="H140"/>
  <c r="F15" i="13"/>
  <c r="L15" s="1"/>
  <c r="K15"/>
  <c r="F14"/>
  <c r="K14"/>
  <c r="M37" i="11" l="1"/>
  <c r="F260" i="10"/>
  <c r="F50" i="11" s="1"/>
  <c r="K95" i="12"/>
  <c r="H95"/>
  <c r="L86"/>
  <c r="M12" i="11"/>
  <c r="L37"/>
  <c r="L36"/>
  <c r="K158" i="10"/>
  <c r="K157"/>
  <c r="F28" i="11"/>
  <c r="L133" i="10"/>
  <c r="M61" i="11"/>
  <c r="M55"/>
  <c r="F24"/>
  <c r="L112" i="10"/>
  <c r="E14" i="8"/>
  <c r="B17"/>
  <c r="E17" s="1"/>
  <c r="M54" i="11"/>
  <c r="M65"/>
  <c r="F22"/>
  <c r="L99" i="10"/>
  <c r="L167" i="12"/>
  <c r="H185"/>
  <c r="L66" i="10"/>
  <c r="F15" i="11"/>
  <c r="F90" i="12"/>
  <c r="L90" s="1"/>
  <c r="K90"/>
  <c r="M46" i="11"/>
  <c r="G5" i="13"/>
  <c r="H5" s="1"/>
  <c r="L158" i="10"/>
  <c r="M36" i="11"/>
  <c r="I365" i="10"/>
  <c r="J365" s="1"/>
  <c r="J366" s="1"/>
  <c r="J67" i="11" s="1"/>
  <c r="K67" s="1"/>
  <c r="J159" i="12" s="1"/>
  <c r="J165" s="1"/>
  <c r="J68" i="11"/>
  <c r="K68" s="1"/>
  <c r="F10"/>
  <c r="L37" i="10"/>
  <c r="F27" i="11"/>
  <c r="L128" i="10"/>
  <c r="F63" i="11"/>
  <c r="L343" i="10"/>
  <c r="F159"/>
  <c r="L157"/>
  <c r="L369"/>
  <c r="F371"/>
  <c r="M77" i="11"/>
  <c r="E5" i="13"/>
  <c r="G8" i="7"/>
  <c r="M8" s="1"/>
  <c r="L8"/>
  <c r="F17" i="11"/>
  <c r="L76" i="10"/>
  <c r="F18" i="11"/>
  <c r="L82" i="10"/>
  <c r="F8" i="11"/>
  <c r="L28" i="10"/>
  <c r="M42" i="11"/>
  <c r="K369" i="10"/>
  <c r="J159"/>
  <c r="J35" i="11" s="1"/>
  <c r="K35" s="1"/>
  <c r="J94" i="12" s="1"/>
  <c r="J104" s="1"/>
  <c r="K303" i="10"/>
  <c r="F303"/>
  <c r="F88" i="12"/>
  <c r="L88" s="1"/>
  <c r="K88"/>
  <c r="F130"/>
  <c r="L130" s="1"/>
  <c r="K130"/>
  <c r="L108"/>
  <c r="F124"/>
  <c r="G58" i="11"/>
  <c r="L58"/>
  <c r="B41" i="8"/>
  <c r="B45" s="1"/>
  <c r="A41"/>
  <c r="H159" i="12"/>
  <c r="H165" s="1"/>
  <c r="H94"/>
  <c r="H145"/>
  <c r="H50"/>
  <c r="L14" i="13"/>
  <c r="L260" i="10" l="1"/>
  <c r="H104" i="12"/>
  <c r="L95"/>
  <c r="K46"/>
  <c r="F46"/>
  <c r="L46" s="1"/>
  <c r="F129"/>
  <c r="L129" s="1"/>
  <c r="K129"/>
  <c r="G17" i="11"/>
  <c r="L17"/>
  <c r="G27"/>
  <c r="L27"/>
  <c r="L185" i="12"/>
  <c r="G13" i="13"/>
  <c r="F5" i="9"/>
  <c r="E45" i="8"/>
  <c r="F152" i="12"/>
  <c r="L152" s="1"/>
  <c r="K152"/>
  <c r="E365" i="10"/>
  <c r="F68" i="11"/>
  <c r="L371" i="10"/>
  <c r="G18" i="11"/>
  <c r="L18"/>
  <c r="L63"/>
  <c r="G63"/>
  <c r="E10" i="13"/>
  <c r="L124" i="12"/>
  <c r="L15" i="11"/>
  <c r="G15"/>
  <c r="F142" i="12"/>
  <c r="L142" s="1"/>
  <c r="K142"/>
  <c r="R159"/>
  <c r="R165" s="1"/>
  <c r="R12" i="13" s="1"/>
  <c r="I12"/>
  <c r="J12" s="1"/>
  <c r="K157" i="12"/>
  <c r="F157"/>
  <c r="L157" s="1"/>
  <c r="F305" i="10"/>
  <c r="L303"/>
  <c r="G24" i="11"/>
  <c r="L24"/>
  <c r="L24" i="12"/>
  <c r="G28" i="11"/>
  <c r="L28"/>
  <c r="G50"/>
  <c r="L50"/>
  <c r="F141" i="12"/>
  <c r="L141" s="1"/>
  <c r="K141"/>
  <c r="R94"/>
  <c r="R104" s="1"/>
  <c r="R9" i="13" s="1"/>
  <c r="I9"/>
  <c r="J9" s="1"/>
  <c r="M58" i="11"/>
  <c r="F5" i="13"/>
  <c r="L5" s="1"/>
  <c r="K5"/>
  <c r="F35" i="11"/>
  <c r="L159" i="10"/>
  <c r="B44" i="8"/>
  <c r="E44" s="1"/>
  <c r="E41"/>
  <c r="G8" i="11"/>
  <c r="L8"/>
  <c r="G10"/>
  <c r="L10"/>
  <c r="K133" i="12"/>
  <c r="F133"/>
  <c r="L133" s="1"/>
  <c r="G22" i="11"/>
  <c r="L22"/>
  <c r="G17" i="13"/>
  <c r="G11"/>
  <c r="H64" i="12"/>
  <c r="G12" i="13"/>
  <c r="H12" s="1"/>
  <c r="J24" l="1"/>
  <c r="E12" i="14" s="1"/>
  <c r="R24" i="13"/>
  <c r="M15" i="11"/>
  <c r="F57"/>
  <c r="L305" i="10"/>
  <c r="M18" i="11"/>
  <c r="K13" i="13"/>
  <c r="H13"/>
  <c r="L13" s="1"/>
  <c r="G35" i="11"/>
  <c r="L35"/>
  <c r="G5" i="9"/>
  <c r="L5"/>
  <c r="M17" i="11"/>
  <c r="M8"/>
  <c r="K154" i="12"/>
  <c r="F154"/>
  <c r="L154" s="1"/>
  <c r="M28" i="11"/>
  <c r="F365" i="10"/>
  <c r="K365"/>
  <c r="M27" i="11"/>
  <c r="M10"/>
  <c r="M50"/>
  <c r="M24"/>
  <c r="M22"/>
  <c r="M63"/>
  <c r="F10" i="13"/>
  <c r="L10" s="1"/>
  <c r="K10"/>
  <c r="G68" i="11"/>
  <c r="M68" s="1"/>
  <c r="L68"/>
  <c r="H17" i="13"/>
  <c r="G9"/>
  <c r="G7"/>
  <c r="H11"/>
  <c r="I12" i="14" l="1"/>
  <c r="F140" i="12"/>
  <c r="K140"/>
  <c r="F70"/>
  <c r="L70" s="1"/>
  <c r="K70"/>
  <c r="M5" i="9"/>
  <c r="L57" i="11"/>
  <c r="G57"/>
  <c r="F28" i="12"/>
  <c r="L28" s="1"/>
  <c r="K28"/>
  <c r="K48"/>
  <c r="F48"/>
  <c r="F366" i="10"/>
  <c r="L365"/>
  <c r="F51" i="12"/>
  <c r="L51" s="1"/>
  <c r="K51"/>
  <c r="F69"/>
  <c r="L69" s="1"/>
  <c r="K69"/>
  <c r="K156"/>
  <c r="F156"/>
  <c r="L156" s="1"/>
  <c r="M35" i="11"/>
  <c r="K67" i="12"/>
  <c r="F67"/>
  <c r="F49"/>
  <c r="L49" s="1"/>
  <c r="K49"/>
  <c r="F50"/>
  <c r="L50" s="1"/>
  <c r="K50"/>
  <c r="K27"/>
  <c r="F27"/>
  <c r="H7" i="13"/>
  <c r="H9"/>
  <c r="H24" l="1"/>
  <c r="E9" i="14" s="1"/>
  <c r="E10" s="1"/>
  <c r="F145" i="12"/>
  <c r="L140"/>
  <c r="L48"/>
  <c r="F64"/>
  <c r="F268"/>
  <c r="F285" s="1"/>
  <c r="K268"/>
  <c r="F44"/>
  <c r="L27"/>
  <c r="F16" i="13"/>
  <c r="L16" s="1"/>
  <c r="K16"/>
  <c r="L67" i="12"/>
  <c r="F84"/>
  <c r="F67" i="11"/>
  <c r="L366" i="10"/>
  <c r="F94" i="12"/>
  <c r="F104" s="1"/>
  <c r="K94"/>
  <c r="M57" i="11"/>
  <c r="E11" i="13" l="1"/>
  <c r="L145" i="12"/>
  <c r="L268"/>
  <c r="K147"/>
  <c r="F147"/>
  <c r="E7" i="13"/>
  <c r="L64" i="12"/>
  <c r="E8" i="13"/>
  <c r="L84" i="12"/>
  <c r="G67" i="11"/>
  <c r="L67"/>
  <c r="L94" i="12"/>
  <c r="E6" i="13"/>
  <c r="L44" i="12"/>
  <c r="E11" i="14"/>
  <c r="I9"/>
  <c r="E13" l="1"/>
  <c r="E14"/>
  <c r="X268" i="12"/>
  <c r="X285" s="1"/>
  <c r="X17" i="13" s="1"/>
  <c r="X24" s="1"/>
  <c r="L285" i="12"/>
  <c r="F8" i="13"/>
  <c r="L8" s="1"/>
  <c r="K8"/>
  <c r="F11"/>
  <c r="K11"/>
  <c r="M67" i="11"/>
  <c r="E17" i="13"/>
  <c r="F7"/>
  <c r="L7" s="1"/>
  <c r="K7"/>
  <c r="E9"/>
  <c r="L104" i="12"/>
  <c r="L147"/>
  <c r="K6" i="13"/>
  <c r="F6"/>
  <c r="I11" i="14"/>
  <c r="I10"/>
  <c r="L11" i="13" l="1"/>
  <c r="F9"/>
  <c r="L9" s="1"/>
  <c r="K9"/>
  <c r="F17"/>
  <c r="L17" s="1"/>
  <c r="E22" i="14" s="1"/>
  <c r="I22" s="1"/>
  <c r="K17" i="13"/>
  <c r="F159" i="12"/>
  <c r="F165" s="1"/>
  <c r="K159"/>
  <c r="L6" i="13"/>
  <c r="I14" i="14"/>
  <c r="I13"/>
  <c r="L159" i="12" l="1"/>
  <c r="L165" l="1"/>
  <c r="E12" i="13"/>
  <c r="F12" l="1"/>
  <c r="F24" s="1"/>
  <c r="E5" i="14" s="1"/>
  <c r="K12" i="13"/>
  <c r="L12" l="1"/>
  <c r="L24" l="1"/>
  <c r="E6" i="14" l="1"/>
  <c r="I6" s="1"/>
  <c r="I5"/>
  <c r="E8" l="1"/>
  <c r="E16" l="1"/>
  <c r="E17"/>
  <c r="E15"/>
  <c r="I8"/>
  <c r="E18" l="1"/>
  <c r="I16"/>
  <c r="I15"/>
  <c r="I17"/>
  <c r="E20" l="1"/>
  <c r="E21" s="1"/>
  <c r="I18"/>
  <c r="I20" s="1"/>
  <c r="I21" s="1"/>
  <c r="E19"/>
  <c r="I19" l="1"/>
  <c r="I23" s="1"/>
  <c r="I24" s="1"/>
  <c r="I25" s="1"/>
  <c r="E25" s="1"/>
  <c r="E23"/>
  <c r="E24" s="1"/>
</calcChain>
</file>

<file path=xl/sharedStrings.xml><?xml version="1.0" encoding="utf-8"?>
<sst xmlns="http://schemas.openxmlformats.org/spreadsheetml/2006/main" count="4025" uniqueCount="984">
  <si>
    <t>단 가 대 비 표</t>
  </si>
  <si>
    <t>공사명 : 광화문우체국대수선공사</t>
  </si>
  <si>
    <t>품     명</t>
  </si>
  <si>
    <t>규     격</t>
  </si>
  <si>
    <t>단위</t>
  </si>
  <si>
    <t>물가자료</t>
  </si>
  <si>
    <t>물가정보</t>
  </si>
  <si>
    <t>가격정보</t>
  </si>
  <si>
    <t>유통물가</t>
  </si>
  <si>
    <t>거래가격</t>
  </si>
  <si>
    <t>조사단가</t>
  </si>
  <si>
    <t>적용단가</t>
  </si>
  <si>
    <t>비 고</t>
  </si>
  <si>
    <t>단   가</t>
  </si>
  <si>
    <t>Page</t>
  </si>
  <si>
    <t>AS관 이음관(90˚엘보)</t>
  </si>
  <si>
    <t xml:space="preserve"> 50mm</t>
  </si>
  <si>
    <t>EA</t>
  </si>
  <si>
    <t>773</t>
  </si>
  <si>
    <t/>
  </si>
  <si>
    <t>100mm</t>
  </si>
  <si>
    <t>AS관 이음관(레듀샤)</t>
  </si>
  <si>
    <t xml:space="preserve"> 75* 50mm</t>
  </si>
  <si>
    <t>AS관 이음관(소켓)</t>
  </si>
  <si>
    <t>FABRIC 흡음판</t>
  </si>
  <si>
    <t>VI-401 50T*1000*2000</t>
  </si>
  <si>
    <t>M2</t>
  </si>
  <si>
    <t>1076</t>
  </si>
  <si>
    <t>M.D.F</t>
  </si>
  <si>
    <t>9.0T 1210*2420</t>
  </si>
  <si>
    <t>680</t>
  </si>
  <si>
    <t>408</t>
  </si>
  <si>
    <t>METAL C-RUNNER</t>
  </si>
  <si>
    <t>0.8T 102*40</t>
  </si>
  <si>
    <t>M</t>
  </si>
  <si>
    <t>536</t>
  </si>
  <si>
    <t>METAL C-STUD</t>
  </si>
  <si>
    <t>0.8T 100*45</t>
  </si>
  <si>
    <t>PVC관(VG1) 고무링접합</t>
  </si>
  <si>
    <t>D100</t>
  </si>
  <si>
    <t>745</t>
  </si>
  <si>
    <t>2-537</t>
  </si>
  <si>
    <t>566</t>
  </si>
  <si>
    <t>689</t>
  </si>
  <si>
    <t>D50</t>
  </si>
  <si>
    <t>SGP칸막이</t>
  </si>
  <si>
    <t>SGP칸막이 A형</t>
  </si>
  <si>
    <t>2-452</t>
  </si>
  <si>
    <t>521</t>
  </si>
  <si>
    <t>636</t>
  </si>
  <si>
    <t>SGP칸막이 B형</t>
  </si>
  <si>
    <t>SMC천정재</t>
  </si>
  <si>
    <t>1.2*300*300</t>
  </si>
  <si>
    <t>690</t>
  </si>
  <si>
    <t>2-350</t>
  </si>
  <si>
    <t>414</t>
  </si>
  <si>
    <t>U 형못</t>
  </si>
  <si>
    <t>3*38mm</t>
  </si>
  <si>
    <t>KG</t>
  </si>
  <si>
    <t>가새</t>
  </si>
  <si>
    <t>1.2*1.9</t>
  </si>
  <si>
    <t>146</t>
  </si>
  <si>
    <t>164</t>
  </si>
  <si>
    <t>93</t>
  </si>
  <si>
    <t>각재</t>
  </si>
  <si>
    <t>미송(재)</t>
  </si>
  <si>
    <t>재</t>
  </si>
  <si>
    <t>139</t>
  </si>
  <si>
    <t>163</t>
  </si>
  <si>
    <t>112</t>
  </si>
  <si>
    <t>경유</t>
  </si>
  <si>
    <t>저유황</t>
  </si>
  <si>
    <t>L</t>
  </si>
  <si>
    <t>하권32</t>
  </si>
  <si>
    <t>2-950</t>
  </si>
  <si>
    <t>1237</t>
  </si>
  <si>
    <t>1323</t>
  </si>
  <si>
    <t>광명단조합페인트</t>
  </si>
  <si>
    <t>KSM6030-1종1류</t>
  </si>
  <si>
    <t>624</t>
  </si>
  <si>
    <t>2-258</t>
  </si>
  <si>
    <t>473</t>
  </si>
  <si>
    <t>구조용각형강관(1.6t)</t>
  </si>
  <si>
    <t xml:space="preserve"> 40*40*1.6t</t>
  </si>
  <si>
    <t>64</t>
  </si>
  <si>
    <t>굽도리</t>
  </si>
  <si>
    <t>비닐, 2*100mm</t>
  </si>
  <si>
    <t>2-439(1305)</t>
  </si>
  <si>
    <t>디럭스타일</t>
  </si>
  <si>
    <t>3.0*450*450</t>
  </si>
  <si>
    <t>637</t>
  </si>
  <si>
    <t>2-425</t>
  </si>
  <si>
    <t>507</t>
  </si>
  <si>
    <t>611</t>
  </si>
  <si>
    <t>마이톤</t>
  </si>
  <si>
    <t>M-Bar      12*300*600</t>
  </si>
  <si>
    <t>692</t>
  </si>
  <si>
    <t>2-367</t>
  </si>
  <si>
    <t>411</t>
  </si>
  <si>
    <t>맑은유리</t>
  </si>
  <si>
    <t>5mm</t>
  </si>
  <si>
    <t>616</t>
  </si>
  <si>
    <t>2-333</t>
  </si>
  <si>
    <t>466</t>
  </si>
  <si>
    <t>572</t>
  </si>
  <si>
    <t>모래</t>
  </si>
  <si>
    <t>서울(도착도)</t>
  </si>
  <si>
    <t>M3</t>
  </si>
  <si>
    <t>103</t>
  </si>
  <si>
    <t>135</t>
  </si>
  <si>
    <t>75</t>
  </si>
  <si>
    <t>서울(상차도)</t>
  </si>
  <si>
    <t>134</t>
  </si>
  <si>
    <t>74</t>
  </si>
  <si>
    <t>운반비별도</t>
  </si>
  <si>
    <t>모르터방수제</t>
  </si>
  <si>
    <t>물 50배 회석</t>
  </si>
  <si>
    <t>500</t>
  </si>
  <si>
    <t>2-222</t>
  </si>
  <si>
    <t>382</t>
  </si>
  <si>
    <t>515</t>
  </si>
  <si>
    <t>목재도어설치</t>
  </si>
  <si>
    <t>SGP,편개(하드웨어포함)</t>
  </si>
  <si>
    <t>몰딩(AL)</t>
  </si>
  <si>
    <t>W형 15*15*15*15*1.0</t>
  </si>
  <si>
    <t>419</t>
  </si>
  <si>
    <t>WELL 몰딩</t>
  </si>
  <si>
    <t>몰딩(합성목재)</t>
  </si>
  <si>
    <t>W:100*T:9.5,필름</t>
  </si>
  <si>
    <t>방염벽지</t>
  </si>
  <si>
    <t>실크</t>
  </si>
  <si>
    <t>2-440(1303)</t>
  </si>
  <si>
    <t>바퀴</t>
  </si>
  <si>
    <t>L=1829</t>
  </si>
  <si>
    <t>보통합판(1급)</t>
  </si>
  <si>
    <t>5.0T 1.21*2.42</t>
  </si>
  <si>
    <t>681</t>
  </si>
  <si>
    <t>578</t>
  </si>
  <si>
    <t>볼밸브(황동,10Kg)</t>
  </si>
  <si>
    <t>D20</t>
  </si>
  <si>
    <t>817</t>
  </si>
  <si>
    <t>2-592</t>
  </si>
  <si>
    <t>731</t>
  </si>
  <si>
    <t>비계기본틀(기둥)</t>
  </si>
  <si>
    <t>1.2*1.7  ( H=1700 * W=1219 )</t>
  </si>
  <si>
    <t>비계안정장치(손잡이)</t>
  </si>
  <si>
    <t>L=1229</t>
  </si>
  <si>
    <t>비데</t>
  </si>
  <si>
    <t>계림요업-헬로우비데,KCB3100</t>
  </si>
  <si>
    <t>대</t>
  </si>
  <si>
    <t>2-692(1403)</t>
  </si>
  <si>
    <t>산소</t>
  </si>
  <si>
    <t>산소 가스</t>
  </si>
  <si>
    <t>하권33</t>
  </si>
  <si>
    <t>2-951</t>
  </si>
  <si>
    <t>샤워부스칸막이</t>
  </si>
  <si>
    <t>반강화,칼라</t>
  </si>
  <si>
    <t>샤워수전</t>
  </si>
  <si>
    <t>DD-1006 골드화이트</t>
  </si>
  <si>
    <t>628(0512)</t>
  </si>
  <si>
    <t>석고보드</t>
  </si>
  <si>
    <t>평보드, 9.5×900×1800mm(㎡)</t>
  </si>
  <si>
    <t>686</t>
  </si>
  <si>
    <t>2-363</t>
  </si>
  <si>
    <t>407</t>
  </si>
  <si>
    <t>582</t>
  </si>
  <si>
    <t>평보드, 방수 9mm(㎡)</t>
  </si>
  <si>
    <t>687</t>
  </si>
  <si>
    <t>2-364</t>
  </si>
  <si>
    <t>세면기</t>
  </si>
  <si>
    <t>4", L221</t>
  </si>
  <si>
    <t>조</t>
  </si>
  <si>
    <t>2-644(1112)</t>
  </si>
  <si>
    <t>CL-520</t>
  </si>
  <si>
    <t>872(1204)</t>
  </si>
  <si>
    <t>세면기수전</t>
  </si>
  <si>
    <t>4"싱글레버930RG/RWG</t>
  </si>
  <si>
    <t>875</t>
  </si>
  <si>
    <t>세면기자동수전</t>
  </si>
  <si>
    <t>JATA-200BC 냉온수혼합형</t>
  </si>
  <si>
    <t>세이프목재문(쌍여닫이)</t>
  </si>
  <si>
    <t>45*250,전사도장&amp;부속포함</t>
  </si>
  <si>
    <t>592</t>
  </si>
  <si>
    <t>현장설치도</t>
  </si>
  <si>
    <t>세이프목재문(외여닫이)</t>
  </si>
  <si>
    <t>손잡이기둥</t>
  </si>
  <si>
    <t>1.2*1.7</t>
  </si>
  <si>
    <t>수성페인트</t>
  </si>
  <si>
    <t>KSM6010-2종1급, 백색</t>
  </si>
  <si>
    <t>621</t>
  </si>
  <si>
    <t>수평띠장</t>
  </si>
  <si>
    <t>슈퍼온도리</t>
  </si>
  <si>
    <t>데코</t>
  </si>
  <si>
    <t>2-366(1305)</t>
  </si>
  <si>
    <t>397</t>
  </si>
  <si>
    <t>스테인리스강판(STS304)</t>
  </si>
  <si>
    <t>1.5t (STS304)</t>
  </si>
  <si>
    <t>69</t>
  </si>
  <si>
    <t>100</t>
  </si>
  <si>
    <t>50</t>
  </si>
  <si>
    <t>59</t>
  </si>
  <si>
    <t>스테인리스관이음쇠(SP Joint)</t>
  </si>
  <si>
    <t>소켓   20 SU</t>
  </si>
  <si>
    <t>2-533</t>
  </si>
  <si>
    <t>수전엘보 W-Type  20x15</t>
  </si>
  <si>
    <t>엘보(45˚ ,90 ˚)   20 SU</t>
  </si>
  <si>
    <t>스텐관(2.0T)</t>
  </si>
  <si>
    <t>736</t>
  </si>
  <si>
    <t>2-525</t>
  </si>
  <si>
    <t>560</t>
  </si>
  <si>
    <t>677</t>
  </si>
  <si>
    <t>스트롱앵커</t>
  </si>
  <si>
    <t>1/2"  (M13)</t>
  </si>
  <si>
    <t>91</t>
  </si>
  <si>
    <t>125</t>
  </si>
  <si>
    <t>시멘트</t>
  </si>
  <si>
    <t>40kg 포장품</t>
  </si>
  <si>
    <t>106</t>
  </si>
  <si>
    <t>136</t>
  </si>
  <si>
    <t>94</t>
  </si>
  <si>
    <t>시멘트벽돌</t>
  </si>
  <si>
    <t>매</t>
  </si>
  <si>
    <t>474</t>
  </si>
  <si>
    <t>2-175</t>
  </si>
  <si>
    <t>361</t>
  </si>
  <si>
    <t>465</t>
  </si>
  <si>
    <t>신나</t>
  </si>
  <si>
    <t>KSM6060-2종,조합페인트용</t>
  </si>
  <si>
    <t>625</t>
  </si>
  <si>
    <t>534</t>
  </si>
  <si>
    <t>실리콘(비초산)</t>
  </si>
  <si>
    <t>유리용,창호주위</t>
  </si>
  <si>
    <t>2-240</t>
  </si>
  <si>
    <t>실리콘(초산형)</t>
  </si>
  <si>
    <t>글래스실란트</t>
  </si>
  <si>
    <t>씽크대설치(상,하부장)</t>
  </si>
  <si>
    <t>I형,L=1200</t>
  </si>
  <si>
    <t>개소</t>
  </si>
  <si>
    <t>씽크수전</t>
  </si>
  <si>
    <t>DD-2058 크롬</t>
  </si>
  <si>
    <t>아세틸렌</t>
  </si>
  <si>
    <t>압축가스</t>
  </si>
  <si>
    <t>아티론(난연AL)25T</t>
  </si>
  <si>
    <t>2-752</t>
  </si>
  <si>
    <t>양변기(탱크일체형변기)</t>
  </si>
  <si>
    <t>사이펀, C2010C, CC-207 (도기)</t>
  </si>
  <si>
    <t>2-687(1303)</t>
  </si>
  <si>
    <t>앵글밸브(청동,10K)</t>
  </si>
  <si>
    <t>D15</t>
  </si>
  <si>
    <t>816</t>
  </si>
  <si>
    <t>연마지</t>
  </si>
  <si>
    <t>#120~#180</t>
  </si>
  <si>
    <t>1418</t>
  </si>
  <si>
    <t>1-662</t>
  </si>
  <si>
    <t>1216</t>
  </si>
  <si>
    <t>1209</t>
  </si>
  <si>
    <t>온도조절기</t>
  </si>
  <si>
    <t>디지털온도조절계, 220Vac, 비례식</t>
  </si>
  <si>
    <t>2-883</t>
  </si>
  <si>
    <t>용접봉</t>
  </si>
  <si>
    <t>연강용 3.2mm</t>
  </si>
  <si>
    <t>1279</t>
  </si>
  <si>
    <t>용접봉(스텐용)</t>
  </si>
  <si>
    <t>Φ3.2mm, AWSE308</t>
  </si>
  <si>
    <t>1389</t>
  </si>
  <si>
    <t>1-622</t>
  </si>
  <si>
    <t>1180</t>
  </si>
  <si>
    <t>1198</t>
  </si>
  <si>
    <t>용접봉(연강용)</t>
  </si>
  <si>
    <t>∮3.2  CR-13</t>
  </si>
  <si>
    <t>우레탄폼 충전</t>
  </si>
  <si>
    <t>창호주위 (건식벽)</t>
  </si>
  <si>
    <t>m</t>
  </si>
  <si>
    <t>실적(건축-28)</t>
  </si>
  <si>
    <t>장판지</t>
  </si>
  <si>
    <t>장판지, 퓨전, 3.0T*1830</t>
  </si>
  <si>
    <t>㎡</t>
  </si>
  <si>
    <t>인테리어표면마감재</t>
  </si>
  <si>
    <t>0.42*1220mm FW (목무늬방염)</t>
  </si>
  <si>
    <t>682</t>
  </si>
  <si>
    <t>512</t>
  </si>
  <si>
    <t>일반구조용압연강판</t>
  </si>
  <si>
    <t>1.4∼1.6mm</t>
  </si>
  <si>
    <t>52</t>
  </si>
  <si>
    <t>88</t>
  </si>
  <si>
    <t>40</t>
  </si>
  <si>
    <t>45</t>
  </si>
  <si>
    <t>2.0∼2.3mm</t>
  </si>
  <si>
    <t>쟈키</t>
  </si>
  <si>
    <t>자기질타일</t>
  </si>
  <si>
    <t>무유색소, 300*300*8~11</t>
  </si>
  <si>
    <t>497</t>
  </si>
  <si>
    <t>무유연마, 300*600*8~10</t>
  </si>
  <si>
    <t>전기온돌판넬</t>
  </si>
  <si>
    <t>1250 x 400 x 15</t>
  </si>
  <si>
    <t>925(1411)</t>
  </si>
  <si>
    <t>전산볼트</t>
  </si>
  <si>
    <t>M12 L1000</t>
  </si>
  <si>
    <t>86</t>
  </si>
  <si>
    <t>119</t>
  </si>
  <si>
    <t>65</t>
  </si>
  <si>
    <t>81</t>
  </si>
  <si>
    <t>절연행거</t>
  </si>
  <si>
    <t>702</t>
  </si>
  <si>
    <t>2-481</t>
  </si>
  <si>
    <t>729</t>
  </si>
  <si>
    <t>접착재</t>
  </si>
  <si>
    <t>비닐타일용</t>
  </si>
  <si>
    <t>스치로폴용</t>
  </si>
  <si>
    <t>철못</t>
  </si>
  <si>
    <t>N 90</t>
  </si>
  <si>
    <t>67</t>
  </si>
  <si>
    <t>56</t>
  </si>
  <si>
    <t>초배지</t>
  </si>
  <si>
    <t>696</t>
  </si>
  <si>
    <t>타일카페트</t>
  </si>
  <si>
    <t>LOOP, 500*500*7.0mm</t>
  </si>
  <si>
    <t>2-430</t>
  </si>
  <si>
    <t>513</t>
  </si>
  <si>
    <t>파이프행거(일반)</t>
  </si>
  <si>
    <t>판재</t>
  </si>
  <si>
    <t>외송 일반(㎥)</t>
  </si>
  <si>
    <t>팬코일유니트(상치노출형)</t>
  </si>
  <si>
    <t>800</t>
  </si>
  <si>
    <t>933</t>
  </si>
  <si>
    <t>2-822</t>
  </si>
  <si>
    <t>퍼티</t>
  </si>
  <si>
    <t>319퍼티,회색</t>
  </si>
  <si>
    <t>620</t>
  </si>
  <si>
    <t>합성풀</t>
  </si>
  <si>
    <t>건설용합성풀</t>
  </si>
  <si>
    <t>화장경</t>
  </si>
  <si>
    <t>600*900*5T</t>
  </si>
  <si>
    <t>화장실용 액세서리</t>
  </si>
  <si>
    <t>매립형휴지걸이</t>
  </si>
  <si>
    <t>877</t>
  </si>
  <si>
    <t>물비누통, 수동</t>
  </si>
  <si>
    <t>수건걸이, 1BAR</t>
  </si>
  <si>
    <t>건설기계운전사</t>
  </si>
  <si>
    <t>인</t>
  </si>
  <si>
    <t>건설기계운전기사</t>
  </si>
  <si>
    <t>건축목공</t>
  </si>
  <si>
    <t>기계설비공</t>
  </si>
  <si>
    <t>기계설치공</t>
  </si>
  <si>
    <t>내장공</t>
  </si>
  <si>
    <t>도배공</t>
  </si>
  <si>
    <t>도장공</t>
  </si>
  <si>
    <t>방수공</t>
  </si>
  <si>
    <t>배관공</t>
  </si>
  <si>
    <t>배전전공</t>
  </si>
  <si>
    <t>미장공</t>
  </si>
  <si>
    <t>보온공</t>
  </si>
  <si>
    <t>보통인부</t>
  </si>
  <si>
    <t>용접공</t>
  </si>
  <si>
    <t>용접공(일반)</t>
  </si>
  <si>
    <t>위생공</t>
  </si>
  <si>
    <t>유리공</t>
  </si>
  <si>
    <t>조적공</t>
  </si>
  <si>
    <t>줄눈공</t>
  </si>
  <si>
    <t>착암공</t>
  </si>
  <si>
    <t>철공</t>
  </si>
  <si>
    <t>코킹공</t>
  </si>
  <si>
    <t>타일공</t>
  </si>
  <si>
    <t>특별인부</t>
  </si>
  <si>
    <t>굴삭기(유압식백호우)</t>
  </si>
  <si>
    <t>0.7 ㎥</t>
  </si>
  <si>
    <t>토목11-4</t>
  </si>
  <si>
    <t>덤프트럭</t>
  </si>
  <si>
    <t>15.0 TON</t>
  </si>
  <si>
    <t>용접기 (교류)</t>
  </si>
  <si>
    <t>500 AMP</t>
  </si>
  <si>
    <t>전력</t>
  </si>
  <si>
    <t>㎾h</t>
  </si>
  <si>
    <t>하권341</t>
  </si>
  <si>
    <t>코아드릴</t>
  </si>
  <si>
    <t>10 inch</t>
  </si>
  <si>
    <t>폐자재처리수수료</t>
  </si>
  <si>
    <t>건축폐자재</t>
  </si>
  <si>
    <t>톤</t>
  </si>
  <si>
    <t>하권167</t>
  </si>
  <si>
    <t>부록135</t>
  </si>
  <si>
    <t>공 량 산 출 서</t>
  </si>
  <si>
    <t>품    명</t>
  </si>
  <si>
    <t>규    격</t>
  </si>
  <si>
    <t>수 량</t>
  </si>
  <si>
    <t>적용%</t>
  </si>
  <si>
    <t>적    용  
자재수량</t>
  </si>
  <si>
    <t>공      량</t>
  </si>
  <si>
    <t>비고</t>
  </si>
  <si>
    <t>품셈목록</t>
  </si>
  <si>
    <t>인부</t>
  </si>
  <si>
    <t>자재원수량</t>
  </si>
  <si>
    <t>자재</t>
  </si>
  <si>
    <t>10. 위생기구</t>
  </si>
  <si>
    <t xml:space="preserve"> 팬코일유니트(상치노출형)</t>
  </si>
  <si>
    <t xml:space="preserve"> 800</t>
  </si>
  <si>
    <t xml:space="preserve"> 대</t>
  </si>
  <si>
    <t xml:space="preserve"> </t>
  </si>
  <si>
    <t xml:space="preserve"> 양변기(탱크일체형변기)</t>
  </si>
  <si>
    <t xml:space="preserve"> 사이펀, C2010C, CC-207 (도기)</t>
  </si>
  <si>
    <t xml:space="preserve"> EA</t>
  </si>
  <si>
    <t xml:space="preserve"> 세면기</t>
  </si>
  <si>
    <t xml:space="preserve"> CL-520</t>
  </si>
  <si>
    <t xml:space="preserve"> 조</t>
  </si>
  <si>
    <t xml:space="preserve"> 4", L221</t>
  </si>
  <si>
    <t xml:space="preserve"> 세면기자동수전</t>
  </si>
  <si>
    <t xml:space="preserve"> JATA-200BC 냉온수혼합형</t>
  </si>
  <si>
    <t xml:space="preserve"> 세면기수전</t>
  </si>
  <si>
    <t xml:space="preserve"> 4"싱글레버930RG/RWG</t>
  </si>
  <si>
    <t xml:space="preserve"> 샤워수전</t>
  </si>
  <si>
    <t xml:space="preserve"> DD-1006 골드화이트</t>
  </si>
  <si>
    <t xml:space="preserve"> 씽크수전</t>
  </si>
  <si>
    <t xml:space="preserve"> DD-2058 크롬</t>
  </si>
  <si>
    <t xml:space="preserve"> 화장경</t>
  </si>
  <si>
    <t xml:space="preserve"> 600*900*5T</t>
  </si>
  <si>
    <t xml:space="preserve"> 화장실용 액세서리</t>
  </si>
  <si>
    <t xml:space="preserve"> 매립형휴지걸이</t>
  </si>
  <si>
    <t xml:space="preserve"> 물비누통, 수동</t>
  </si>
  <si>
    <t xml:space="preserve"> 수건걸이, 1BAR</t>
  </si>
  <si>
    <t>합  계</t>
  </si>
  <si>
    <t>11. 급수공사</t>
  </si>
  <si>
    <t xml:space="preserve"> 스텐관(2.0T)</t>
  </si>
  <si>
    <t xml:space="preserve"> D20</t>
  </si>
  <si>
    <t xml:space="preserve"> M</t>
  </si>
  <si>
    <t xml:space="preserve"> 앵글밸브(청동,10K)</t>
  </si>
  <si>
    <t xml:space="preserve"> D15</t>
  </si>
  <si>
    <t xml:space="preserve"> 볼밸브(황동,10Kg)</t>
  </si>
  <si>
    <t xml:space="preserve"> 아티론(난연AL)25T</t>
  </si>
  <si>
    <t>12. 배수배관</t>
  </si>
  <si>
    <t xml:space="preserve"> PVC관(VG1) 고무링접합</t>
  </si>
  <si>
    <t xml:space="preserve"> D100</t>
  </si>
  <si>
    <t xml:space="preserve"> D50</t>
  </si>
  <si>
    <t>중    기    경    비</t>
  </si>
  <si>
    <t>품          명</t>
  </si>
  <si>
    <t>규          격</t>
  </si>
  <si>
    <t>수  량</t>
  </si>
  <si>
    <t>재   료   비</t>
  </si>
  <si>
    <t>노   무   비</t>
  </si>
  <si>
    <t>경        비</t>
  </si>
  <si>
    <t>합        계</t>
  </si>
  <si>
    <t>비  고</t>
  </si>
  <si>
    <t>단  가</t>
  </si>
  <si>
    <t>금   액</t>
  </si>
  <si>
    <t>손료요율</t>
  </si>
  <si>
    <t>손료구분</t>
  </si>
  <si>
    <t>적용구분</t>
  </si>
  <si>
    <t>합계구분</t>
  </si>
  <si>
    <t>중기 33호 용접기 (교류)</t>
  </si>
  <si>
    <t>HR</t>
  </si>
  <si>
    <t>토목11-2</t>
  </si>
  <si>
    <t>경  비</t>
  </si>
  <si>
    <t>03</t>
  </si>
  <si>
    <t>기계경비</t>
  </si>
  <si>
    <t>소  계</t>
  </si>
  <si>
    <t>25.4cm(10inch)</t>
  </si>
  <si>
    <t>0.7M3</t>
  </si>
  <si>
    <t>재료비</t>
  </si>
  <si>
    <t>01</t>
  </si>
  <si>
    <t>잡품</t>
  </si>
  <si>
    <t>식</t>
  </si>
  <si>
    <t>1</t>
  </si>
  <si>
    <t>노무비</t>
  </si>
  <si>
    <t>02</t>
  </si>
  <si>
    <t>15 TON</t>
  </si>
  <si>
    <t>중 기 경 비 목 록</t>
  </si>
  <si>
    <t>호 표</t>
  </si>
  <si>
    <t>수량</t>
  </si>
  <si>
    <t>재 료 비</t>
  </si>
  <si>
    <t>노 무 비</t>
  </si>
  <si>
    <t>경    비</t>
  </si>
  <si>
    <t>합    계</t>
  </si>
  <si>
    <t>중기 33호</t>
  </si>
  <si>
    <t>중기 75호</t>
  </si>
  <si>
    <t>단   가   산   출   서</t>
  </si>
  <si>
    <t>산   출   근   거</t>
  </si>
  <si>
    <t>비    고</t>
  </si>
  <si>
    <t>금액</t>
  </si>
  <si>
    <t>참고자료</t>
  </si>
  <si>
    <t xml:space="preserve">1.적사  </t>
  </si>
  <si>
    <t xml:space="preserve"> 굴삭기(유압식백호우) : 0.7M3 HR</t>
  </si>
  <si>
    <t>q</t>
  </si>
  <si>
    <t>k</t>
  </si>
  <si>
    <t>f</t>
  </si>
  <si>
    <t>E</t>
  </si>
  <si>
    <t>Cm</t>
  </si>
  <si>
    <t>Q</t>
  </si>
  <si>
    <t xml:space="preserve"> 소  계  </t>
  </si>
  <si>
    <t xml:space="preserve">2.운반  </t>
  </si>
  <si>
    <t xml:space="preserve"> 덤프트럭 : 15 TON HR</t>
  </si>
  <si>
    <t>V</t>
  </si>
  <si>
    <t>V1</t>
  </si>
  <si>
    <t>V2</t>
  </si>
  <si>
    <t>T</t>
  </si>
  <si>
    <t>rt</t>
  </si>
  <si>
    <t>Qt</t>
  </si>
  <si>
    <t>n</t>
  </si>
  <si>
    <t>Cms</t>
  </si>
  <si>
    <t>Es</t>
  </si>
  <si>
    <t>t1</t>
  </si>
  <si>
    <t>t2</t>
  </si>
  <si>
    <t>t3</t>
  </si>
  <si>
    <t>t4</t>
  </si>
  <si>
    <t>t5</t>
  </si>
  <si>
    <t>단 가 산 출 서 목 록</t>
  </si>
  <si>
    <t>폐기물수집,운반비</t>
  </si>
  <si>
    <t>10km</t>
  </si>
  <si>
    <t>TON</t>
  </si>
  <si>
    <t>일 위 대 가 명 세 서</t>
  </si>
  <si>
    <t>품        명</t>
  </si>
  <si>
    <t>규        격</t>
  </si>
  <si>
    <t>재  료  비</t>
  </si>
  <si>
    <t>노  무  비</t>
  </si>
  <si>
    <t>경      비</t>
  </si>
  <si>
    <t>합      계</t>
  </si>
  <si>
    <t>일위  1호 이동식강관말비계</t>
  </si>
  <si>
    <t>3개월,1단(2m)</t>
  </si>
  <si>
    <t>1대</t>
  </si>
  <si>
    <t>품셈2-6-3</t>
  </si>
  <si>
    <t>일위  2호 폐기물상차</t>
  </si>
  <si>
    <t>인력</t>
  </si>
  <si>
    <t>일위  3호 건축물현장정리</t>
  </si>
  <si>
    <t>보수공사</t>
  </si>
  <si>
    <t>품셈2-10</t>
  </si>
  <si>
    <t>일위  4호 0.5B 시멘트벽돌쌓기</t>
  </si>
  <si>
    <t>3.6m이하, 시멘트모래포함</t>
  </si>
  <si>
    <t>건축8-1-2</t>
  </si>
  <si>
    <t>모르타르</t>
  </si>
  <si>
    <t>배합용적비 1:3, 시멘트모래포함</t>
  </si>
  <si>
    <t>일위  5호</t>
  </si>
  <si>
    <t>일위  5호 모르타르</t>
  </si>
  <si>
    <t>건축15-1-1</t>
  </si>
  <si>
    <t>일위  6호 1.0B 시멘트벽돌쌓기</t>
  </si>
  <si>
    <t>일위  7호 벽돌소운반</t>
  </si>
  <si>
    <t>인력, 5층이상</t>
  </si>
  <si>
    <t>건축8-2</t>
  </si>
  <si>
    <t>일위  8호 시멘트액체방수</t>
  </si>
  <si>
    <t>1종</t>
  </si>
  <si>
    <t>건축12-7-2</t>
  </si>
  <si>
    <t>공구손료</t>
  </si>
  <si>
    <t>자재에입력</t>
  </si>
  <si>
    <t>일위  9호 시멘트액체방수</t>
  </si>
  <si>
    <t>2종</t>
  </si>
  <si>
    <t>일위 10호 도막방수</t>
  </si>
  <si>
    <t>비노출,바닥</t>
  </si>
  <si>
    <t>건축12-5</t>
  </si>
  <si>
    <t>일위 11호 바탕고르기</t>
  </si>
  <si>
    <t>바닥24mm</t>
  </si>
  <si>
    <t>건축10-1</t>
  </si>
  <si>
    <t>모르타르배합</t>
  </si>
  <si>
    <t>1:3, 체가름有,재료포함</t>
  </si>
  <si>
    <t>일위 12호</t>
  </si>
  <si>
    <t>일위 12호 모르타르배합</t>
  </si>
  <si>
    <t>일위 13호 바탕고르기</t>
  </si>
  <si>
    <t>벽18mm</t>
  </si>
  <si>
    <t>일위 14호 모르타르바름(3.6m이하)</t>
  </si>
  <si>
    <t>벽체,T:18mm</t>
  </si>
  <si>
    <t>건축15-1-2.1</t>
  </si>
  <si>
    <t>모르타르바름(인력)</t>
  </si>
  <si>
    <t>3.6m 이하, 초벌바르기</t>
  </si>
  <si>
    <t>일위 15호</t>
  </si>
  <si>
    <t>3.6m 이하, 재벌바르기</t>
  </si>
  <si>
    <t>일위 16호</t>
  </si>
  <si>
    <t>3.6m 이하, 정벌바르기</t>
  </si>
  <si>
    <t>일위 17호</t>
  </si>
  <si>
    <t>일위 15호 모르타르바름(인력)</t>
  </si>
  <si>
    <t>일위 16호 모르타르바름(인력)</t>
  </si>
  <si>
    <t>일위 17호 모르타르바름(인력)</t>
  </si>
  <si>
    <t>일위 18호 모르타르충전</t>
  </si>
  <si>
    <t>창틀주위</t>
  </si>
  <si>
    <t>건축15-3</t>
  </si>
  <si>
    <t>1:4, 체가름無,재료포함</t>
  </si>
  <si>
    <t>일위 19호</t>
  </si>
  <si>
    <t>일위 19호 모르타르배합</t>
  </si>
  <si>
    <t>일위 20호 타일압착붙임(5mm)</t>
  </si>
  <si>
    <t>바닥, 타일 0.04~0.10㎡ 이하</t>
  </si>
  <si>
    <t>건축10-2-2</t>
  </si>
  <si>
    <t>배합용적비 1:2, 시멘트모래포함</t>
  </si>
  <si>
    <t>일위 21호</t>
  </si>
  <si>
    <t>배합용적비 1:1, 시멘트모래포함</t>
  </si>
  <si>
    <t>일위 22호</t>
  </si>
  <si>
    <t>04</t>
  </si>
  <si>
    <t>일위 21호 모르타르</t>
  </si>
  <si>
    <t>일위 22호 모르타르</t>
  </si>
  <si>
    <t>일위 23호 타일압착붙임(5mm)</t>
  </si>
  <si>
    <t>벽, 타일 0.11~0.20㎡ 이하</t>
  </si>
  <si>
    <t>일위 24호 바탕고르기</t>
  </si>
  <si>
    <t>바닥45mm</t>
  </si>
  <si>
    <t>일위 25호 WD_1 청장실</t>
  </si>
  <si>
    <t>1800*2400</t>
  </si>
  <si>
    <t>일위 26호 WD_2 청장실</t>
  </si>
  <si>
    <t>900*2400</t>
  </si>
  <si>
    <t>일위 27호 WD_3 부속실</t>
  </si>
  <si>
    <t>일위 28호 WD_4 부속실</t>
  </si>
  <si>
    <t>1800*2100</t>
  </si>
  <si>
    <t>일위 29호 WD_5 전실</t>
  </si>
  <si>
    <t>800*2100</t>
  </si>
  <si>
    <t>일위 30호 수밀코킹(5mm각)</t>
  </si>
  <si>
    <t>실리콘</t>
  </si>
  <si>
    <t>건축12-12-1</t>
  </si>
  <si>
    <t>일위 31호 재료분리대(바닥)</t>
  </si>
  <si>
    <t>W25*H20*1.5tSST</t>
  </si>
  <si>
    <t>잡철물제작설치(스텐)</t>
  </si>
  <si>
    <t>간단</t>
  </si>
  <si>
    <t>일위 32호</t>
  </si>
  <si>
    <t>잡철물제작설치(철제)</t>
  </si>
  <si>
    <t>일위 34호</t>
  </si>
  <si>
    <t>일위 32호 잡철물제작설치(스텐)</t>
  </si>
  <si>
    <t>건축14-6</t>
  </si>
  <si>
    <t>일위 34호 잡철물제작설치(철제)</t>
  </si>
  <si>
    <t>일위 35호 유리끼우기(판유리)</t>
  </si>
  <si>
    <t>5mm이하</t>
  </si>
  <si>
    <t>건축16-5-1</t>
  </si>
  <si>
    <t>일위 36호 유리주위코킹</t>
  </si>
  <si>
    <t>5*5,실리콘</t>
  </si>
  <si>
    <t>일위 37호 암면텍스붙임</t>
  </si>
  <si>
    <t>12mm천정,텍스포함</t>
  </si>
  <si>
    <t>건축18-2-1.1</t>
  </si>
  <si>
    <t>일위 38호 목조벽틀설치</t>
  </si>
  <si>
    <t>30*30,450*450</t>
  </si>
  <si>
    <t>참고자료삭제</t>
  </si>
  <si>
    <t>일위 39호 메탈스터드설치공사(C-100)</t>
  </si>
  <si>
    <t>너트(스텐)</t>
  </si>
  <si>
    <t>3/8"</t>
  </si>
  <si>
    <t>타정공포</t>
  </si>
  <si>
    <t>DX-450용</t>
  </si>
  <si>
    <t>타정핀</t>
  </si>
  <si>
    <t>W10-30-32</t>
  </si>
  <si>
    <t>∮3.2  CS-200</t>
  </si>
  <si>
    <t>일위 40호 석고판못붙임(바탕용,벽)</t>
  </si>
  <si>
    <t>일반 9mm</t>
  </si>
  <si>
    <t>건축18-2-1.2.가</t>
  </si>
  <si>
    <t>일위 41호 석고판못붙임(치장용,벽)</t>
  </si>
  <si>
    <t>일위 42호 합판붙이기</t>
  </si>
  <si>
    <t>벽, 5MM</t>
  </si>
  <si>
    <t>건축11-4.3</t>
  </si>
  <si>
    <t>일위 43호 벽,MDF붙임</t>
  </si>
  <si>
    <t>MDF포함</t>
  </si>
  <si>
    <t>일위 44호 벽지바름</t>
  </si>
  <si>
    <t>건축18-2-3</t>
  </si>
  <si>
    <t>일위 45호 비닐타일(디럭스)</t>
  </si>
  <si>
    <t>건축18-1-1.1</t>
  </si>
  <si>
    <t>일위 46호 카펫트타일붙임</t>
  </si>
  <si>
    <t>500*500*7.0mm(LOOP)</t>
  </si>
  <si>
    <t>일위 47호 경량칸막이설치</t>
  </si>
  <si>
    <t>일반석고2PLY+STUD+방수석고2PLY</t>
  </si>
  <si>
    <t>메탈 스터드(C-65)</t>
  </si>
  <si>
    <t>65×45 @450</t>
  </si>
  <si>
    <t>일위 48호</t>
  </si>
  <si>
    <t>석고판못붙임(바탕용,벽)</t>
  </si>
  <si>
    <t>방수 9mm</t>
  </si>
  <si>
    <t>일위 49호</t>
  </si>
  <si>
    <t>일위 40호</t>
  </si>
  <si>
    <t>석고판못붙임(치장용,벽)</t>
  </si>
  <si>
    <t>일위 50호</t>
  </si>
  <si>
    <t>일위 41호</t>
  </si>
  <si>
    <t>일위 48호 메탈 스터드(C-65)</t>
  </si>
  <si>
    <t>메탈 스터드(Metal Stud)</t>
  </si>
  <si>
    <t>65×45×0.8</t>
  </si>
  <si>
    <t>메탈 러너</t>
  </si>
  <si>
    <t>67×40×0.8</t>
  </si>
  <si>
    <t>나사(Screw)</t>
  </si>
  <si>
    <t>DIA.1S</t>
  </si>
  <si>
    <t>Hilti Pin</t>
  </si>
  <si>
    <t>DN-350</t>
  </si>
  <si>
    <t>Set</t>
  </si>
  <si>
    <t>일위 49호 석고판못붙임(바탕용,벽)</t>
  </si>
  <si>
    <t>일위 50호 석고판못붙임(치장용,벽)</t>
  </si>
  <si>
    <t>일위 51호 FABRIC 흡음판 설치</t>
  </si>
  <si>
    <t>50T*1000*2000</t>
  </si>
  <si>
    <t>PVC조이너</t>
  </si>
  <si>
    <t>연결용-조이너(L형) 50t</t>
  </si>
  <si>
    <t>일위 52호 AL몰딩설치</t>
  </si>
  <si>
    <t>W형, 15*15*15*15*1.0mm</t>
  </si>
  <si>
    <t>건축14-8</t>
  </si>
  <si>
    <t>잡재료비</t>
  </si>
  <si>
    <t>일위 53호 문선몰딩설치</t>
  </si>
  <si>
    <t>MDF기성제품</t>
  </si>
  <si>
    <t>50×45 @450</t>
  </si>
  <si>
    <t>50×45×0.8</t>
  </si>
  <si>
    <t>52×40×0.8</t>
  </si>
  <si>
    <t>일위 55호 수성페인트 로울러칠</t>
  </si>
  <si>
    <t>건축17-2-2</t>
  </si>
  <si>
    <t>바탕만들기</t>
  </si>
  <si>
    <t>콘크리트,몰탈면(벽)</t>
  </si>
  <si>
    <t>일위 56호</t>
  </si>
  <si>
    <t>05</t>
  </si>
  <si>
    <t>일위 56호 바탕만들기</t>
  </si>
  <si>
    <t>건축17-1-1.1</t>
  </si>
  <si>
    <t>라왕60*120, 락카</t>
  </si>
  <si>
    <t>2014년하반기</t>
  </si>
  <si>
    <t>멍애+장선+내수합판2PLY</t>
  </si>
  <si>
    <t>목조벽틀설치</t>
  </si>
  <si>
    <t>45*45,450*450</t>
  </si>
  <si>
    <t>일위 59호</t>
  </si>
  <si>
    <t>단열재+전기판넬+컨트롤BOX</t>
  </si>
  <si>
    <t>T=3.0</t>
  </si>
  <si>
    <t>천정상부</t>
  </si>
  <si>
    <t>SET</t>
  </si>
  <si>
    <t>각형강관설치(ㅁ-1.6T)</t>
  </si>
  <si>
    <t>50*50*1.88KG</t>
  </si>
  <si>
    <t>일위 63호</t>
  </si>
  <si>
    <t>녹막이페인트칠</t>
  </si>
  <si>
    <t>1종.1회</t>
  </si>
  <si>
    <t>일위 64호</t>
  </si>
  <si>
    <t>건축17-4</t>
  </si>
  <si>
    <t>텍스,틀재사용</t>
  </si>
  <si>
    <t>건축19-1-2</t>
  </si>
  <si>
    <t>반자틀</t>
  </si>
  <si>
    <t>건축19-1.2</t>
  </si>
  <si>
    <t>틀포함</t>
  </si>
  <si>
    <t>비닐타일</t>
  </si>
  <si>
    <t>철재</t>
  </si>
  <si>
    <t>확인바람</t>
  </si>
  <si>
    <t>D100, 콘크리트 300㎜</t>
  </si>
  <si>
    <t>설비1-8</t>
  </si>
  <si>
    <t>일 위 대 가 표 목 록</t>
  </si>
  <si>
    <t>금    액</t>
  </si>
  <si>
    <t>일위  1호</t>
  </si>
  <si>
    <t>이동식강관말비계</t>
  </si>
  <si>
    <t>일위  2호</t>
  </si>
  <si>
    <t>폐기물상차</t>
  </si>
  <si>
    <t>일위  3호</t>
  </si>
  <si>
    <t>건축물현장정리</t>
  </si>
  <si>
    <t>일위  4호</t>
  </si>
  <si>
    <t>0.5B 시멘트벽돌쌓기</t>
  </si>
  <si>
    <t>일위  6호</t>
  </si>
  <si>
    <t>1.0B 시멘트벽돌쌓기</t>
  </si>
  <si>
    <t>일위  7호</t>
  </si>
  <si>
    <t>벽돌소운반</t>
  </si>
  <si>
    <t>일위  8호</t>
  </si>
  <si>
    <t>시멘트액체방수</t>
  </si>
  <si>
    <t>일위  9호</t>
  </si>
  <si>
    <t>일위 10호</t>
  </si>
  <si>
    <t>도막방수</t>
  </si>
  <si>
    <t>일위 11호</t>
  </si>
  <si>
    <t>바탕고르기</t>
  </si>
  <si>
    <t>일위 13호</t>
  </si>
  <si>
    <t>일위 14호</t>
  </si>
  <si>
    <t>모르타르바름(3.6m이하)</t>
  </si>
  <si>
    <t>일위 18호</t>
  </si>
  <si>
    <t>모르타르충전</t>
  </si>
  <si>
    <t>일위 20호</t>
  </si>
  <si>
    <t>타일압착붙임(5mm)</t>
  </si>
  <si>
    <t>일위 23호</t>
  </si>
  <si>
    <t>일위 24호</t>
  </si>
  <si>
    <t>일위 25호</t>
  </si>
  <si>
    <t>WD_1 청장실</t>
  </si>
  <si>
    <t>일위 26호</t>
  </si>
  <si>
    <t>WD_2 청장실</t>
  </si>
  <si>
    <t>일위 27호</t>
  </si>
  <si>
    <t>WD_3 부속실</t>
  </si>
  <si>
    <t>일위 28호</t>
  </si>
  <si>
    <t>WD_4 부속실</t>
  </si>
  <si>
    <t>일위 29호</t>
  </si>
  <si>
    <t>WD_5 전실</t>
  </si>
  <si>
    <t>일위 30호</t>
  </si>
  <si>
    <t>수밀코킹(5mm각)</t>
  </si>
  <si>
    <t>일위 31호</t>
  </si>
  <si>
    <t>재료분리대(바닥)</t>
  </si>
  <si>
    <t>일위 35호</t>
  </si>
  <si>
    <t>유리끼우기(판유리)</t>
  </si>
  <si>
    <t>일위 36호</t>
  </si>
  <si>
    <t>유리주위코킹</t>
  </si>
  <si>
    <t>일위 37호</t>
  </si>
  <si>
    <t>암면텍스붙임</t>
  </si>
  <si>
    <t>일위 38호</t>
  </si>
  <si>
    <t>일위 39호</t>
  </si>
  <si>
    <t>메탈스터드설치공사(C-100)</t>
  </si>
  <si>
    <t>일위 42호</t>
  </si>
  <si>
    <t>합판붙이기</t>
  </si>
  <si>
    <t>일위 43호</t>
  </si>
  <si>
    <t>벽,MDF붙임</t>
  </si>
  <si>
    <t>일위 44호</t>
  </si>
  <si>
    <t>벽지바름</t>
  </si>
  <si>
    <t>일위 45호</t>
  </si>
  <si>
    <t>비닐타일(디럭스)</t>
  </si>
  <si>
    <t>일위 46호</t>
  </si>
  <si>
    <t>카펫트타일붙임</t>
  </si>
  <si>
    <t>일위 47호</t>
  </si>
  <si>
    <t>경량칸막이설치</t>
  </si>
  <si>
    <t>일위 51호</t>
  </si>
  <si>
    <t>FABRIC 흡음판 설치</t>
  </si>
  <si>
    <t>일위 52호</t>
  </si>
  <si>
    <t>AL몰딩설치</t>
  </si>
  <si>
    <t>일위 53호</t>
  </si>
  <si>
    <t>문선몰딩설치</t>
  </si>
  <si>
    <t>일위 54호</t>
  </si>
  <si>
    <t>메탈 스터드(C-50 이하)</t>
  </si>
  <si>
    <t>일위 55호</t>
  </si>
  <si>
    <t>수성페인트 로울러칠</t>
  </si>
  <si>
    <t>일위 57호</t>
  </si>
  <si>
    <t>마루귀틀설치(조달실적)</t>
  </si>
  <si>
    <t>일위 58호</t>
  </si>
  <si>
    <t>온돌마루틀설치</t>
  </si>
  <si>
    <t>일위 60호</t>
  </si>
  <si>
    <t>전기온돌시스템</t>
  </si>
  <si>
    <t>일위 61호</t>
  </si>
  <si>
    <t>모노륨바닥깔기</t>
  </si>
  <si>
    <t>일위 62호</t>
  </si>
  <si>
    <t>순간온수기 거치대설치</t>
  </si>
  <si>
    <t>일위 65호</t>
  </si>
  <si>
    <t>천정철거</t>
  </si>
  <si>
    <t>일위 66호</t>
  </si>
  <si>
    <t>일위 67호</t>
  </si>
  <si>
    <t>경량칸막이철거</t>
  </si>
  <si>
    <t>일위 68호</t>
  </si>
  <si>
    <t>칸막이철거</t>
  </si>
  <si>
    <t>일위 69호</t>
  </si>
  <si>
    <t>유리칸막이철거</t>
  </si>
  <si>
    <t>일위 70호</t>
  </si>
  <si>
    <t>바닥철거</t>
  </si>
  <si>
    <t>일위 71호</t>
  </si>
  <si>
    <t>창호철거</t>
  </si>
  <si>
    <t>일위 72호</t>
  </si>
  <si>
    <t>구멍뚫기(코어드릴)</t>
  </si>
  <si>
    <t>내       역       서</t>
  </si>
  <si>
    <t>품      명</t>
  </si>
  <si>
    <t>규      격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</si>
  <si>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</si>
  <si>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</si>
  <si>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</si>
  <si>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</si>
  <si>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</si>
  <si>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</si>
  <si>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</si>
  <si>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</si>
  <si>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</si>
  <si>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</si>
  <si>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</si>
  <si>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</si>
  <si>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사용자항목3</t>
  </si>
  <si>
    <t>사용자항목4</t>
  </si>
  <si>
    <t>사용자항목5</t>
  </si>
  <si>
    <t>사용자항목6</t>
  </si>
  <si>
    <t>사용자항목7</t>
  </si>
  <si>
    <t>사용자항목8</t>
  </si>
  <si>
    <t>사용자항목9</t>
  </si>
  <si>
    <t>간접재료비</t>
  </si>
  <si>
    <t>1. 가설공사</t>
  </si>
  <si>
    <t>2. 조적공사</t>
  </si>
  <si>
    <t>3. 방수및미장공사</t>
  </si>
  <si>
    <t>4. 타일공사</t>
  </si>
  <si>
    <t>5. 창호공사</t>
  </si>
  <si>
    <t>6. 유리공사</t>
  </si>
  <si>
    <t>7. 수장공사</t>
  </si>
  <si>
    <t>8. 마감공사</t>
  </si>
  <si>
    <t>9. 철거공사</t>
  </si>
  <si>
    <t>관부속품비</t>
  </si>
  <si>
    <t>13. 폐기물처리비</t>
  </si>
  <si>
    <t>집      계      표</t>
  </si>
  <si>
    <t>공 사 원 가 계 산 서</t>
  </si>
  <si>
    <t xml:space="preserve">                 구  분
 비   목</t>
  </si>
  <si>
    <t>구    성   비</t>
  </si>
  <si>
    <t>금      액</t>
  </si>
  <si>
    <t>직   접   재  료  비</t>
  </si>
  <si>
    <t>A1</t>
  </si>
  <si>
    <t>간   접   재  료  비</t>
  </si>
  <si>
    <t>A2</t>
  </si>
  <si>
    <t>작업설.부산물 등(△)</t>
  </si>
  <si>
    <t>A3</t>
  </si>
  <si>
    <t xml:space="preserve"> 소               계</t>
  </si>
  <si>
    <t>A</t>
  </si>
  <si>
    <t>직   접   노  무  비</t>
  </si>
  <si>
    <t>B1</t>
  </si>
  <si>
    <t>간   접   노  무  비</t>
  </si>
  <si>
    <t>B2</t>
  </si>
  <si>
    <t>소                계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</si>
  <si>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</si>
  <si>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</si>
  <si>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</si>
  <si>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</si>
  <si>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</si>
  <si>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</si>
  <si>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</si>
  <si>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산업안전  보건관리비</t>
  </si>
  <si>
    <t>C15</t>
  </si>
  <si>
    <t>기    타    경    비</t>
  </si>
  <si>
    <t>C26</t>
  </si>
  <si>
    <t>환  경  보   전   비</t>
  </si>
  <si>
    <t>C28</t>
  </si>
  <si>
    <t>C</t>
  </si>
  <si>
    <t xml:space="preserve">         계</t>
  </si>
  <si>
    <t>X</t>
  </si>
  <si>
    <t>일  반   관   리  비</t>
  </si>
  <si>
    <t>D</t>
  </si>
  <si>
    <t>이                윤</t>
  </si>
  <si>
    <t>폐  기  물  처 리 비</t>
  </si>
  <si>
    <t>총       원       가</t>
  </si>
  <si>
    <t>F</t>
  </si>
  <si>
    <t>부   가   가  치  세</t>
  </si>
  <si>
    <t>H</t>
  </si>
  <si>
    <t>도    급    금    액</t>
  </si>
  <si>
    <t>Y</t>
  </si>
  <si>
    <t>순  공  사  원  가</t>
  </si>
  <si>
    <t># 120</t>
  </si>
  <si>
    <t>2-262</t>
  </si>
  <si>
    <t>중기 75호 코아드릴</t>
  </si>
  <si>
    <t>중기 77호 굴삭기(유압식백호우)</t>
  </si>
  <si>
    <t>중기 78호 덤프트럭</t>
  </si>
  <si>
    <t>중기 77호</t>
  </si>
  <si>
    <t>중기 78호</t>
  </si>
  <si>
    <t>단산 76호 폐기물수집,운반비 10km TON</t>
  </si>
  <si>
    <t>단산 76호</t>
  </si>
  <si>
    <t>일위 54호 복도도장보수</t>
  </si>
  <si>
    <t>각증,수성페인트</t>
  </si>
  <si>
    <t>내벽 2회 1급,광택</t>
  </si>
  <si>
    <t>콘크리트,모르터,플라스터</t>
  </si>
  <si>
    <t>일위 57호 바탕만들기</t>
  </si>
  <si>
    <t>2015년삭제(상반기)</t>
  </si>
  <si>
    <t>일위 58호 메탈 스터드(C-50 이하)</t>
  </si>
  <si>
    <t>일위 59호 마루귀틀설치(조달실적)</t>
  </si>
  <si>
    <t>일위 60호 온돌마루틀설치</t>
  </si>
  <si>
    <t>일위 61호 목조벽틀설치</t>
  </si>
  <si>
    <t>일위 62호 전기온돌시스템</t>
  </si>
  <si>
    <t>일위 63호 모노륨바닥깔기</t>
  </si>
  <si>
    <t>일위 64호 순간온수기 거치대설치</t>
  </si>
  <si>
    <t>일위 65호 각형강관설치(ㅁ-1.6T)</t>
  </si>
  <si>
    <t>일위 66호 녹막이페인트칠</t>
  </si>
  <si>
    <t>일위 67호 천정철거</t>
  </si>
  <si>
    <t>일위 68호 천정철거</t>
  </si>
  <si>
    <t>일위 69호 경량칸막이철거</t>
  </si>
  <si>
    <t>일위 70호 칸막이철거</t>
  </si>
  <si>
    <t>일위 71호 유리칸막이철거</t>
  </si>
  <si>
    <t>일위 72호 바닥철거</t>
  </si>
  <si>
    <t>일위 73호 창호철거</t>
  </si>
  <si>
    <t>일위 74호 구멍뚫기(코어드릴)</t>
  </si>
  <si>
    <t>복도도장보수</t>
  </si>
  <si>
    <t>일위 73호</t>
  </si>
  <si>
    <t>일위 74호</t>
  </si>
  <si>
    <t>[합계]</t>
    <phoneticPr fontId="3" type="noConversion"/>
  </si>
  <si>
    <t>[소계]</t>
    <phoneticPr fontId="3" type="noConversion"/>
  </si>
  <si>
    <t>각층,수성페인트</t>
    <phoneticPr fontId="3" type="noConversion"/>
  </si>
  <si>
    <t>450*450*3.0mm (왁스유)</t>
    <phoneticPr fontId="3" type="noConversion"/>
  </si>
  <si>
    <t>청소용왁스</t>
    <phoneticPr fontId="3" type="noConversion"/>
  </si>
  <si>
    <t>L</t>
    <phoneticPr fontId="3" type="noConversion"/>
  </si>
  <si>
    <t>pb-1</t>
    <phoneticPr fontId="3" type="noConversion"/>
  </si>
  <si>
    <t>450*450*3.0mm (왁스사용)</t>
    <phoneticPr fontId="3" type="noConversion"/>
  </si>
  <si>
    <t>10km</t>
    <phoneticPr fontId="3" type="noConversion"/>
  </si>
  <si>
    <t>폐기물수집,운반비</t>
    <phoneticPr fontId="3" type="noConversion"/>
  </si>
  <si>
    <t>폐기물상차비</t>
    <phoneticPr fontId="3" type="noConversion"/>
  </si>
  <si>
    <t>인력</t>
    <phoneticPr fontId="3" type="noConversion"/>
  </si>
  <si>
    <t>비닐보양 포함,보수공사</t>
    <phoneticPr fontId="3" type="noConversion"/>
  </si>
  <si>
    <t>건축물보양 및 현장정리</t>
    <phoneticPr fontId="3" type="noConversion"/>
  </si>
  <si>
    <t>디럭스타일용,양면마감,AL</t>
    <phoneticPr fontId="3" type="noConversion"/>
  </si>
  <si>
    <t>천정틀철거</t>
    <phoneticPr fontId="3" type="noConversion"/>
  </si>
  <si>
    <t>A타입</t>
    <phoneticPr fontId="3" type="noConversion"/>
  </si>
  <si>
    <t>B타입</t>
    <phoneticPr fontId="3" type="noConversion"/>
  </si>
  <si>
    <t>C타입</t>
    <phoneticPr fontId="3" type="noConversion"/>
  </si>
  <si>
    <t>D타입</t>
    <phoneticPr fontId="3" type="noConversion"/>
  </si>
  <si>
    <t>번호</t>
    <phoneticPr fontId="3" type="noConversion"/>
  </si>
  <si>
    <t>6-1</t>
    <phoneticPr fontId="3" type="noConversion"/>
  </si>
  <si>
    <t>17-1</t>
    <phoneticPr fontId="3" type="noConversion"/>
  </si>
  <si>
    <t>[계]</t>
    <phoneticPr fontId="3" type="noConversion"/>
  </si>
  <si>
    <t>H</t>
    <phoneticPr fontId="3" type="noConversion"/>
  </si>
  <si>
    <t>계</t>
    <phoneticPr fontId="3" type="noConversion"/>
  </si>
  <si>
    <t>높이</t>
    <phoneticPr fontId="3" type="noConversion"/>
  </si>
  <si>
    <t>면적</t>
    <phoneticPr fontId="3" type="noConversion"/>
  </si>
  <si>
    <t>할증</t>
    <phoneticPr fontId="3" type="noConversion"/>
  </si>
  <si>
    <t>SGP칸막이 C형</t>
    <phoneticPr fontId="3" type="noConversion"/>
  </si>
  <si>
    <t>SGP칸막이 D형</t>
    <phoneticPr fontId="3" type="noConversion"/>
  </si>
  <si>
    <t>출입문</t>
    <phoneticPr fontId="3" type="noConversion"/>
  </si>
  <si>
    <t>공제물량</t>
    <phoneticPr fontId="3" type="noConversion"/>
  </si>
  <si>
    <t>공사명 : 서울지방우정청 이전공사(건축)</t>
    <phoneticPr fontId="3" type="noConversion"/>
  </si>
  <si>
    <t>전기온수기설치</t>
  </si>
  <si>
    <t>30L,스테인리스,거치대포함</t>
  </si>
  <si>
    <t>동관 (K-TYPE)</t>
  </si>
  <si>
    <t>동소켓</t>
  </si>
  <si>
    <t>동레듀샤</t>
  </si>
  <si>
    <t>동엘보</t>
  </si>
  <si>
    <t>[소계]</t>
    <phoneticPr fontId="3" type="noConversion"/>
  </si>
  <si>
    <t>보수공사,보양포함</t>
    <phoneticPr fontId="3" type="noConversion"/>
  </si>
  <si>
    <t>비닐재</t>
    <phoneticPr fontId="3" type="noConversion"/>
  </si>
  <si>
    <t>먹메김</t>
    <phoneticPr fontId="3" type="noConversion"/>
  </si>
  <si>
    <t>일반</t>
    <phoneticPr fontId="3" type="noConversion"/>
  </si>
  <si>
    <t>순간온수기 커버 설치</t>
    <phoneticPr fontId="3" type="noConversion"/>
  </si>
  <si>
    <t>MDF위 필름</t>
    <phoneticPr fontId="3" type="noConversion"/>
  </si>
  <si>
    <t>최대 9.1%</t>
    <phoneticPr fontId="3" type="noConversion"/>
  </si>
  <si>
    <t>3.8% 법정</t>
    <phoneticPr fontId="3" type="noConversion"/>
  </si>
  <si>
    <t>0.87% 법정</t>
    <phoneticPr fontId="3" type="noConversion"/>
  </si>
  <si>
    <t>2.93% 법정</t>
    <phoneticPr fontId="3" type="noConversion"/>
  </si>
  <si>
    <t>최대 4.05%</t>
    <phoneticPr fontId="3" type="noConversion"/>
  </si>
  <si>
    <t>0.3% 법정</t>
    <phoneticPr fontId="3" type="noConversion"/>
  </si>
  <si>
    <t>최대 6%</t>
    <phoneticPr fontId="3" type="noConversion"/>
  </si>
  <si>
    <t>최대 11.68%</t>
    <phoneticPr fontId="3" type="noConversion"/>
  </si>
</sst>
</file>

<file path=xl/styles.xml><?xml version="1.0" encoding="utf-8"?>
<styleSheet xmlns="http://schemas.openxmlformats.org/spreadsheetml/2006/main">
  <numFmts count="10">
    <numFmt numFmtId="41" formatCode="_-* #,##0_-;\-* #,##0_-;_-* &quot;-&quot;_-;_-@_-"/>
    <numFmt numFmtId="176" formatCode="#,###,###,##0"/>
    <numFmt numFmtId="177" formatCode="#,###,###,##0.0####"/>
    <numFmt numFmtId="178" formatCode="###,###,###,##0.0###"/>
    <numFmt numFmtId="179" formatCode="###,###,##0.0######"/>
    <numFmt numFmtId="180" formatCode="###,###,##0.0#####"/>
    <numFmt numFmtId="181" formatCode="###,###,###,###"/>
    <numFmt numFmtId="182" formatCode="###,###,###,###,###"/>
    <numFmt numFmtId="183" formatCode="mm&quot;월&quot;\ dd&quot;일&quot;"/>
    <numFmt numFmtId="184" formatCode="_-* #,##0.000_-;\-* #,##0.000_-;_-* &quot;-&quot;_-;_-@_-"/>
  </numFmts>
  <fonts count="9">
    <font>
      <sz val="11"/>
      <color theme="1"/>
      <name val="맑은 고딕"/>
      <family val="2"/>
      <charset val="129"/>
      <scheme val="minor"/>
    </font>
    <font>
      <sz val="7"/>
      <color theme="1"/>
      <name val="굴림체"/>
      <family val="3"/>
      <charset val="129"/>
    </font>
    <font>
      <b/>
      <u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굴림체"/>
      <family val="3"/>
      <charset val="129"/>
    </font>
    <font>
      <u/>
      <sz val="2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8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E6E6FA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78" fontId="1" fillId="0" borderId="0" xfId="0" applyNumberFormat="1" applyFont="1" applyAlignment="1">
      <alignment horizontal="right" vertical="center"/>
    </xf>
    <xf numFmtId="9" fontId="1" fillId="0" borderId="0" xfId="0" applyNumberFormat="1" applyFont="1" applyAlignment="1">
      <alignment horizontal="right" vertical="center"/>
    </xf>
    <xf numFmtId="9" fontId="1" fillId="2" borderId="1" xfId="0" applyNumberFormat="1" applyFont="1" applyFill="1" applyBorder="1" applyAlignment="1">
      <alignment horizontal="center" vertical="center" shrinkToFit="1"/>
    </xf>
    <xf numFmtId="9" fontId="1" fillId="2" borderId="2" xfId="0" applyNumberFormat="1" applyFont="1" applyFill="1" applyBorder="1" applyAlignment="1">
      <alignment horizontal="center" vertical="center" shrinkToFit="1"/>
    </xf>
    <xf numFmtId="3" fontId="1" fillId="2" borderId="2" xfId="0" applyNumberFormat="1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right" vertical="center" shrinkToFit="1"/>
    </xf>
    <xf numFmtId="9" fontId="1" fillId="0" borderId="1" xfId="0" applyNumberFormat="1" applyFont="1" applyBorder="1" applyAlignment="1">
      <alignment horizontal="right" vertical="center" shrinkToFit="1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vertical="center" shrinkToFit="1"/>
    </xf>
    <xf numFmtId="0" fontId="1" fillId="0" borderId="2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right" vertical="center" shrinkToFit="1"/>
    </xf>
    <xf numFmtId="9" fontId="1" fillId="0" borderId="2" xfId="0" applyNumberFormat="1" applyFont="1" applyBorder="1" applyAlignment="1">
      <alignment horizontal="right" vertical="center" shrinkToFit="1"/>
    </xf>
    <xf numFmtId="178" fontId="1" fillId="0" borderId="2" xfId="0" applyNumberFormat="1" applyFont="1" applyBorder="1" applyAlignment="1">
      <alignment horizontal="righ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1" xfId="0" quotePrefix="1" applyFont="1" applyBorder="1" applyAlignment="1">
      <alignment vertical="center" shrinkToFit="1"/>
    </xf>
    <xf numFmtId="0" fontId="1" fillId="0" borderId="1" xfId="0" quotePrefix="1" applyFont="1" applyBorder="1" applyAlignment="1">
      <alignment horizontal="center" vertical="center" shrinkToFit="1"/>
    </xf>
    <xf numFmtId="178" fontId="1" fillId="0" borderId="1" xfId="0" applyNumberFormat="1" applyFont="1" applyBorder="1" applyAlignment="1">
      <alignment horizontal="right" vertical="center" shrinkToFit="1"/>
    </xf>
    <xf numFmtId="0" fontId="1" fillId="0" borderId="1" xfId="0" quotePrefix="1" applyFont="1" applyBorder="1" applyAlignment="1">
      <alignment horizontal="left" vertical="center" shrinkToFit="1"/>
    </xf>
    <xf numFmtId="0" fontId="1" fillId="0" borderId="2" xfId="0" quotePrefix="1" applyFont="1" applyBorder="1" applyAlignment="1">
      <alignment horizontal="right" vertical="center" shrinkToFit="1"/>
    </xf>
    <xf numFmtId="0" fontId="1" fillId="0" borderId="2" xfId="0" quotePrefix="1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quotePrefix="1" applyFont="1" applyAlignment="1">
      <alignment vertical="center"/>
    </xf>
    <xf numFmtId="10" fontId="4" fillId="0" borderId="0" xfId="0" applyNumberFormat="1" applyFont="1" applyAlignment="1">
      <alignment vertical="center"/>
    </xf>
    <xf numFmtId="182" fontId="4" fillId="0" borderId="0" xfId="0" applyNumberFormat="1" applyFont="1" applyAlignment="1">
      <alignment horizontal="right" vertical="center"/>
    </xf>
    <xf numFmtId="0" fontId="4" fillId="0" borderId="6" xfId="0" applyFont="1" applyBorder="1" applyAlignment="1">
      <alignment vertical="center" shrinkToFit="1"/>
    </xf>
    <xf numFmtId="0" fontId="4" fillId="0" borderId="6" xfId="0" applyFont="1" applyBorder="1" applyAlignment="1">
      <alignment horizontal="center" vertical="center" shrinkToFit="1"/>
    </xf>
    <xf numFmtId="178" fontId="4" fillId="0" borderId="6" xfId="0" applyNumberFormat="1" applyFont="1" applyBorder="1" applyAlignment="1">
      <alignment horizontal="right" vertical="center" shrinkToFit="1"/>
    </xf>
    <xf numFmtId="182" fontId="4" fillId="0" borderId="6" xfId="0" applyNumberFormat="1" applyFont="1" applyBorder="1" applyAlignment="1">
      <alignment horizontal="right" vertical="center" shrinkToFit="1"/>
    </xf>
    <xf numFmtId="0" fontId="4" fillId="0" borderId="6" xfId="0" applyFont="1" applyBorder="1" applyAlignment="1">
      <alignment horizontal="right" vertical="center" shrinkToFit="1"/>
    </xf>
    <xf numFmtId="0" fontId="4" fillId="0" borderId="6" xfId="0" quotePrefix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4" fillId="0" borderId="3" xfId="0" applyFont="1" applyBorder="1" applyAlignment="1">
      <alignment horizontal="center" vertical="center" shrinkToFit="1"/>
    </xf>
    <xf numFmtId="182" fontId="4" fillId="0" borderId="3" xfId="0" applyNumberFormat="1" applyFont="1" applyBorder="1" applyAlignment="1">
      <alignment horizontal="right" vertical="center" shrinkToFit="1"/>
    </xf>
    <xf numFmtId="0" fontId="4" fillId="0" borderId="3" xfId="0" applyFont="1" applyBorder="1" applyAlignment="1">
      <alignment horizontal="left" vertical="center" shrinkToFit="1"/>
    </xf>
    <xf numFmtId="0" fontId="6" fillId="0" borderId="0" xfId="0" applyFont="1" applyAlignment="1">
      <alignment vertical="center"/>
    </xf>
    <xf numFmtId="182" fontId="6" fillId="0" borderId="0" xfId="0" applyNumberFormat="1" applyFont="1" applyAlignment="1">
      <alignment vertical="center"/>
    </xf>
    <xf numFmtId="0" fontId="6" fillId="0" borderId="0" xfId="0" quotePrefix="1" applyFont="1" applyAlignment="1">
      <alignment vertical="center"/>
    </xf>
    <xf numFmtId="10" fontId="6" fillId="0" borderId="0" xfId="0" applyNumberFormat="1" applyFont="1" applyAlignment="1">
      <alignment vertical="center"/>
    </xf>
    <xf numFmtId="9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quotePrefix="1" applyFont="1" applyBorder="1" applyAlignment="1">
      <alignment vertical="center" shrinkToFit="1"/>
    </xf>
    <xf numFmtId="182" fontId="6" fillId="0" borderId="1" xfId="0" applyNumberFormat="1" applyFont="1" applyBorder="1" applyAlignment="1">
      <alignment vertical="center" shrinkToFit="1"/>
    </xf>
    <xf numFmtId="0" fontId="6" fillId="0" borderId="8" xfId="0" quotePrefix="1" applyFont="1" applyBorder="1" applyAlignment="1">
      <alignment horizontal="center" vertical="center" shrinkToFit="1"/>
    </xf>
    <xf numFmtId="0" fontId="6" fillId="0" borderId="8" xfId="0" quotePrefix="1" applyFont="1" applyBorder="1" applyAlignment="1">
      <alignment vertical="center" shrinkToFit="1"/>
    </xf>
    <xf numFmtId="182" fontId="6" fillId="0" borderId="8" xfId="0" applyNumberFormat="1" applyFont="1" applyBorder="1" applyAlignment="1">
      <alignment vertical="center" shrinkToFit="1"/>
    </xf>
    <xf numFmtId="0" fontId="6" fillId="0" borderId="2" xfId="0" quotePrefix="1" applyFont="1" applyBorder="1" applyAlignment="1">
      <alignment horizontal="center" vertical="center" shrinkToFit="1"/>
    </xf>
    <xf numFmtId="0" fontId="6" fillId="0" borderId="2" xfId="0" quotePrefix="1" applyFont="1" applyBorder="1" applyAlignment="1">
      <alignment vertical="center" shrinkToFit="1"/>
    </xf>
    <xf numFmtId="182" fontId="6" fillId="0" borderId="2" xfId="0" applyNumberFormat="1" applyFont="1" applyBorder="1" applyAlignment="1">
      <alignment vertical="center" shrinkToFit="1"/>
    </xf>
    <xf numFmtId="0" fontId="6" fillId="0" borderId="2" xfId="0" applyFont="1" applyBorder="1" applyAlignment="1">
      <alignment vertical="center" shrinkToFit="1"/>
    </xf>
    <xf numFmtId="0" fontId="6" fillId="0" borderId="8" xfId="0" applyFont="1" applyBorder="1" applyAlignment="1">
      <alignment vertical="center" shrinkToFit="1"/>
    </xf>
    <xf numFmtId="0" fontId="4" fillId="0" borderId="5" xfId="0" applyFont="1" applyBorder="1" applyAlignment="1">
      <alignment vertical="center" shrinkToFit="1"/>
    </xf>
    <xf numFmtId="0" fontId="7" fillId="0" borderId="4" xfId="0" applyFont="1" applyBorder="1" applyAlignment="1">
      <alignment vertical="center"/>
    </xf>
    <xf numFmtId="0" fontId="4" fillId="3" borderId="6" xfId="0" applyFont="1" applyFill="1" applyBorder="1" applyAlignment="1">
      <alignment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right" vertical="center" shrinkToFit="1"/>
    </xf>
    <xf numFmtId="182" fontId="4" fillId="3" borderId="6" xfId="0" applyNumberFormat="1" applyFont="1" applyFill="1" applyBorder="1" applyAlignment="1">
      <alignment horizontal="right" vertical="center" shrinkToFit="1"/>
    </xf>
    <xf numFmtId="0" fontId="4" fillId="3" borderId="6" xfId="0" applyFont="1" applyFill="1" applyBorder="1" applyAlignment="1">
      <alignment horizontal="left" vertical="center" shrinkToFit="1"/>
    </xf>
    <xf numFmtId="0" fontId="4" fillId="0" borderId="6" xfId="0" applyFont="1" applyBorder="1" applyAlignment="1">
      <alignment horizontal="left" vertical="center" shrinkToFit="1"/>
    </xf>
    <xf numFmtId="0" fontId="4" fillId="0" borderId="6" xfId="0" quotePrefix="1" applyFont="1" applyBorder="1" applyAlignment="1">
      <alignment horizontal="left" vertical="center" shrinkToFit="1"/>
    </xf>
    <xf numFmtId="0" fontId="6" fillId="0" borderId="0" xfId="0" applyFont="1" applyAlignment="1">
      <alignment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 shrinkToFit="1"/>
    </xf>
    <xf numFmtId="0" fontId="1" fillId="0" borderId="15" xfId="0" quotePrefix="1" applyFont="1" applyBorder="1" applyAlignment="1">
      <alignment vertical="center" shrinkToFit="1"/>
    </xf>
    <xf numFmtId="0" fontId="1" fillId="0" borderId="15" xfId="0" quotePrefix="1" applyFont="1" applyBorder="1" applyAlignment="1">
      <alignment horizontal="center" vertical="center" shrinkToFit="1"/>
    </xf>
    <xf numFmtId="176" fontId="1" fillId="0" borderId="15" xfId="0" applyNumberFormat="1" applyFont="1" applyBorder="1" applyAlignment="1">
      <alignment horizontal="right" vertical="center" shrinkToFit="1"/>
    </xf>
    <xf numFmtId="0" fontId="1" fillId="0" borderId="15" xfId="0" quotePrefix="1" applyFont="1" applyBorder="1" applyAlignment="1">
      <alignment horizontal="right" vertical="center" shrinkToFit="1"/>
    </xf>
    <xf numFmtId="0" fontId="1" fillId="0" borderId="15" xfId="0" applyFont="1" applyBorder="1" applyAlignment="1">
      <alignment horizontal="right" vertical="center" shrinkToFit="1"/>
    </xf>
    <xf numFmtId="0" fontId="1" fillId="0" borderId="15" xfId="0" quotePrefix="1" applyFont="1" applyBorder="1" applyAlignment="1">
      <alignment horizontal="left" vertical="center" shrinkToFit="1"/>
    </xf>
    <xf numFmtId="177" fontId="1" fillId="0" borderId="15" xfId="0" applyNumberFormat="1" applyFont="1" applyBorder="1" applyAlignment="1">
      <alignment horizontal="right" vertical="center" shrinkToFit="1"/>
    </xf>
    <xf numFmtId="0" fontId="1" fillId="0" borderId="15" xfId="0" applyFont="1" applyBorder="1" applyAlignment="1">
      <alignment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left" vertical="center" shrinkToFit="1"/>
    </xf>
    <xf numFmtId="9" fontId="1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0" borderId="6" xfId="0" quotePrefix="1" applyFont="1" applyBorder="1" applyAlignment="1">
      <alignment vertical="center" shrinkToFit="1"/>
    </xf>
    <xf numFmtId="179" fontId="4" fillId="0" borderId="6" xfId="0" applyNumberFormat="1" applyFont="1" applyBorder="1" applyAlignment="1">
      <alignment horizontal="right" vertical="center" shrinkToFit="1"/>
    </xf>
    <xf numFmtId="180" fontId="4" fillId="0" borderId="6" xfId="0" applyNumberFormat="1" applyFont="1" applyBorder="1" applyAlignment="1">
      <alignment horizontal="right" vertical="center" shrinkToFit="1"/>
    </xf>
    <xf numFmtId="181" fontId="4" fillId="0" borderId="6" xfId="0" applyNumberFormat="1" applyFont="1" applyBorder="1" applyAlignment="1">
      <alignment horizontal="right" vertical="center" shrinkToFit="1"/>
    </xf>
    <xf numFmtId="179" fontId="4" fillId="0" borderId="6" xfId="0" quotePrefix="1" applyNumberFormat="1" applyFont="1" applyBorder="1" applyAlignment="1">
      <alignment horizontal="right" vertical="center" shrinkToFit="1"/>
    </xf>
    <xf numFmtId="0" fontId="4" fillId="0" borderId="6" xfId="0" quotePrefix="1" applyFont="1" applyBorder="1" applyAlignment="1">
      <alignment horizontal="right" vertical="center" shrinkToFit="1"/>
    </xf>
    <xf numFmtId="180" fontId="4" fillId="0" borderId="6" xfId="0" quotePrefix="1" applyNumberFormat="1" applyFont="1" applyBorder="1" applyAlignment="1">
      <alignment horizontal="right" vertical="center" shrinkToFit="1"/>
    </xf>
    <xf numFmtId="0" fontId="4" fillId="0" borderId="15" xfId="0" quotePrefix="1" applyFont="1" applyBorder="1" applyAlignment="1">
      <alignment horizontal="center" vertical="center" shrinkToFit="1"/>
    </xf>
    <xf numFmtId="0" fontId="4" fillId="0" borderId="15" xfId="0" quotePrefix="1" applyFont="1" applyBorder="1" applyAlignment="1">
      <alignment vertical="center" shrinkToFit="1"/>
    </xf>
    <xf numFmtId="0" fontId="4" fillId="0" borderId="15" xfId="0" applyFont="1" applyBorder="1" applyAlignment="1">
      <alignment horizontal="center" vertical="center" shrinkToFit="1"/>
    </xf>
    <xf numFmtId="181" fontId="4" fillId="0" borderId="15" xfId="0" applyNumberFormat="1" applyFont="1" applyBorder="1" applyAlignment="1">
      <alignment horizontal="right" vertical="center" shrinkToFit="1"/>
    </xf>
    <xf numFmtId="0" fontId="4" fillId="0" borderId="15" xfId="0" quotePrefix="1" applyFont="1" applyBorder="1" applyAlignment="1">
      <alignment horizontal="left" vertical="center" shrinkToFit="1"/>
    </xf>
    <xf numFmtId="0" fontId="4" fillId="0" borderId="15" xfId="0" applyFont="1" applyBorder="1" applyAlignment="1">
      <alignment vertical="center" shrinkToFit="1"/>
    </xf>
    <xf numFmtId="0" fontId="4" fillId="0" borderId="15" xfId="0" applyFont="1" applyBorder="1" applyAlignment="1">
      <alignment horizontal="right" vertical="center" shrinkToFit="1"/>
    </xf>
    <xf numFmtId="0" fontId="4" fillId="0" borderId="15" xfId="0" applyFont="1" applyBorder="1" applyAlignment="1">
      <alignment horizontal="left" vertical="center" shrinkToFit="1"/>
    </xf>
    <xf numFmtId="0" fontId="4" fillId="0" borderId="16" xfId="0" applyFont="1" applyBorder="1" applyAlignment="1">
      <alignment vertical="center" shrinkToFit="1"/>
    </xf>
    <xf numFmtId="0" fontId="4" fillId="0" borderId="16" xfId="0" applyFont="1" applyBorder="1" applyAlignment="1">
      <alignment horizontal="center" vertical="center" shrinkToFit="1"/>
    </xf>
    <xf numFmtId="178" fontId="4" fillId="0" borderId="16" xfId="0" applyNumberFormat="1" applyFont="1" applyBorder="1" applyAlignment="1">
      <alignment horizontal="right" vertical="center" shrinkToFit="1"/>
    </xf>
    <xf numFmtId="182" fontId="4" fillId="0" borderId="16" xfId="0" applyNumberFormat="1" applyFont="1" applyBorder="1" applyAlignment="1">
      <alignment horizontal="right" vertical="center" shrinkToFit="1"/>
    </xf>
    <xf numFmtId="0" fontId="4" fillId="0" borderId="16" xfId="0" applyFont="1" applyBorder="1" applyAlignment="1">
      <alignment horizontal="right" vertical="center" shrinkToFit="1"/>
    </xf>
    <xf numFmtId="0" fontId="4" fillId="0" borderId="16" xfId="0" quotePrefix="1" applyFont="1" applyBorder="1" applyAlignment="1">
      <alignment horizontal="right" vertical="center" shrinkToFit="1"/>
    </xf>
    <xf numFmtId="0" fontId="4" fillId="0" borderId="16" xfId="0" quotePrefix="1" applyFont="1" applyBorder="1" applyAlignment="1">
      <alignment horizontal="center" vertical="center" shrinkToFit="1"/>
    </xf>
    <xf numFmtId="178" fontId="4" fillId="0" borderId="16" xfId="0" quotePrefix="1" applyNumberFormat="1" applyFont="1" applyBorder="1" applyAlignment="1">
      <alignment horizontal="right" vertical="center" shrinkToFit="1"/>
    </xf>
    <xf numFmtId="181" fontId="4" fillId="0" borderId="6" xfId="0" applyNumberFormat="1" applyFont="1" applyBorder="1" applyAlignment="1">
      <alignment horizontal="center" vertical="center" shrinkToFit="1"/>
    </xf>
    <xf numFmtId="0" fontId="6" fillId="0" borderId="6" xfId="0" quotePrefix="1" applyFont="1" applyBorder="1" applyAlignment="1">
      <alignment horizontal="center" vertical="center" shrinkToFit="1"/>
    </xf>
    <xf numFmtId="0" fontId="6" fillId="0" borderId="6" xfId="0" quotePrefix="1" applyFont="1" applyBorder="1" applyAlignment="1">
      <alignment vertical="center" shrinkToFit="1"/>
    </xf>
    <xf numFmtId="182" fontId="6" fillId="0" borderId="6" xfId="0" applyNumberFormat="1" applyFont="1" applyBorder="1" applyAlignment="1">
      <alignment vertical="center" shrinkToFit="1"/>
    </xf>
    <xf numFmtId="0" fontId="6" fillId="0" borderId="6" xfId="0" applyFont="1" applyBorder="1" applyAlignment="1">
      <alignment vertical="center" shrinkToFit="1"/>
    </xf>
    <xf numFmtId="0" fontId="7" fillId="3" borderId="6" xfId="0" quotePrefix="1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vertical="center" shrinkToFit="1"/>
    </xf>
    <xf numFmtId="0" fontId="4" fillId="0" borderId="17" xfId="0" applyFont="1" applyBorder="1" applyAlignment="1">
      <alignment vertical="center" shrinkToFit="1"/>
    </xf>
    <xf numFmtId="0" fontId="4" fillId="3" borderId="16" xfId="0" applyFont="1" applyFill="1" applyBorder="1" applyAlignment="1">
      <alignment vertical="center" shrinkToFit="1"/>
    </xf>
    <xf numFmtId="0" fontId="4" fillId="3" borderId="16" xfId="0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right" vertical="center" shrinkToFit="1"/>
    </xf>
    <xf numFmtId="182" fontId="4" fillId="3" borderId="16" xfId="0" applyNumberFormat="1" applyFont="1" applyFill="1" applyBorder="1" applyAlignment="1">
      <alignment horizontal="right" vertical="center" shrinkToFit="1"/>
    </xf>
    <xf numFmtId="181" fontId="4" fillId="3" borderId="6" xfId="0" applyNumberFormat="1" applyFont="1" applyFill="1" applyBorder="1" applyAlignment="1">
      <alignment horizontal="right" vertical="center" shrinkToFit="1"/>
    </xf>
    <xf numFmtId="0" fontId="7" fillId="3" borderId="6" xfId="0" applyFont="1" applyFill="1" applyBorder="1" applyAlignment="1">
      <alignment horizontal="distributed" vertical="center" shrinkToFit="1"/>
    </xf>
    <xf numFmtId="0" fontId="4" fillId="0" borderId="6" xfId="0" applyFont="1" applyFill="1" applyBorder="1" applyAlignment="1">
      <alignment horizontal="left" vertical="center" shrinkToFit="1"/>
    </xf>
    <xf numFmtId="0" fontId="4" fillId="0" borderId="6" xfId="0" applyFont="1" applyFill="1" applyBorder="1" applyAlignment="1">
      <alignment horizontal="right" vertical="center" shrinkToFit="1"/>
    </xf>
    <xf numFmtId="0" fontId="4" fillId="0" borderId="0" xfId="0" applyFont="1" applyFill="1" applyAlignment="1">
      <alignment vertical="center"/>
    </xf>
    <xf numFmtId="0" fontId="4" fillId="0" borderId="16" xfId="0" quotePrefix="1" applyFont="1" applyBorder="1" applyAlignment="1">
      <alignment vertical="center" shrinkToFit="1"/>
    </xf>
    <xf numFmtId="180" fontId="4" fillId="0" borderId="16" xfId="0" applyNumberFormat="1" applyFont="1" applyBorder="1" applyAlignment="1">
      <alignment horizontal="right" vertical="center" shrinkToFit="1"/>
    </xf>
    <xf numFmtId="0" fontId="4" fillId="0" borderId="16" xfId="0" applyFont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183" fontId="0" fillId="0" borderId="0" xfId="0" quotePrefix="1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4" fillId="0" borderId="17" xfId="0" applyFont="1" applyBorder="1" applyAlignment="1">
      <alignment horizontal="left" vertical="center" shrinkToFit="1"/>
    </xf>
    <xf numFmtId="0" fontId="4" fillId="0" borderId="16" xfId="0" quotePrefix="1" applyFont="1" applyBorder="1" applyAlignment="1">
      <alignment horizontal="left" vertical="center" shrinkToFit="1"/>
    </xf>
    <xf numFmtId="0" fontId="7" fillId="3" borderId="16" xfId="0" applyFont="1" applyFill="1" applyBorder="1" applyAlignment="1">
      <alignment horizontal="distributed" vertical="center" shrinkToFit="1"/>
    </xf>
    <xf numFmtId="0" fontId="4" fillId="3" borderId="16" xfId="0" applyFont="1" applyFill="1" applyBorder="1" applyAlignment="1">
      <alignment horizontal="left" vertical="center" shrinkToFit="1"/>
    </xf>
    <xf numFmtId="184" fontId="4" fillId="0" borderId="16" xfId="1" applyNumberFormat="1" applyFont="1" applyBorder="1" applyAlignment="1">
      <alignment horizontal="right" vertical="center" shrinkToFit="1"/>
    </xf>
    <xf numFmtId="0" fontId="6" fillId="0" borderId="4" xfId="0" quotePrefix="1" applyFont="1" applyBorder="1" applyAlignment="1">
      <alignment horizontal="center" vertical="center" shrinkToFit="1"/>
    </xf>
    <xf numFmtId="0" fontId="6" fillId="0" borderId="5" xfId="0" quotePrefix="1" applyFont="1" applyBorder="1" applyAlignment="1">
      <alignment horizontal="center" vertical="center" shrinkToFit="1"/>
    </xf>
    <xf numFmtId="0" fontId="6" fillId="0" borderId="7" xfId="0" quotePrefix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6" fillId="2" borderId="9" xfId="0" applyFont="1" applyFill="1" applyBorder="1" applyAlignment="1">
      <alignment horizontal="left" vertical="center" wrapText="1" shrinkToFit="1"/>
    </xf>
    <xf numFmtId="0" fontId="6" fillId="2" borderId="10" xfId="0" applyFont="1" applyFill="1" applyBorder="1" applyAlignment="1">
      <alignment horizontal="left" vertical="center" shrinkToFit="1"/>
    </xf>
    <xf numFmtId="0" fontId="6" fillId="2" borderId="11" xfId="0" applyFont="1" applyFill="1" applyBorder="1" applyAlignment="1">
      <alignment horizontal="left" vertical="center" shrinkToFit="1"/>
    </xf>
    <xf numFmtId="0" fontId="6" fillId="0" borderId="12" xfId="0" applyFont="1" applyBorder="1" applyAlignment="1">
      <alignment horizontal="left" vertical="center" shrinkToFit="1"/>
    </xf>
    <xf numFmtId="0" fontId="6" fillId="0" borderId="13" xfId="0" applyFont="1" applyBorder="1" applyAlignment="1">
      <alignment horizontal="left" vertical="center" shrinkToFit="1"/>
    </xf>
    <xf numFmtId="0" fontId="6" fillId="0" borderId="14" xfId="0" applyFont="1" applyBorder="1" applyAlignment="1">
      <alignment horizontal="left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textRotation="255" wrapText="1" shrinkToFit="1"/>
    </xf>
    <xf numFmtId="0" fontId="6" fillId="0" borderId="8" xfId="0" applyFont="1" applyBorder="1" applyAlignment="1">
      <alignment horizontal="center" vertical="center" textRotation="255" wrapText="1" shrinkToFit="1"/>
    </xf>
    <xf numFmtId="0" fontId="6" fillId="0" borderId="2" xfId="0" applyFont="1" applyBorder="1" applyAlignment="1">
      <alignment horizontal="center" vertical="center" textRotation="255" wrapText="1" shrinkToFit="1"/>
    </xf>
    <xf numFmtId="0" fontId="6" fillId="0" borderId="18" xfId="0" applyFont="1" applyBorder="1" applyAlignment="1">
      <alignment horizontal="left" vertical="center" shrinkToFit="1"/>
    </xf>
    <xf numFmtId="0" fontId="6" fillId="0" borderId="18" xfId="0" applyFont="1" applyBorder="1" applyAlignment="1">
      <alignment horizontal="right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1" fillId="2" borderId="6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4%20&#45236;&#50669;&#49436;_&#44305;&#54868;&#47928;%20&#51060;&#51204;_%20&#52572;&#513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"/>
      <sheetName val="집계표"/>
      <sheetName val="내역서"/>
      <sheetName val="일위대가목록"/>
      <sheetName val="일위대가표"/>
      <sheetName val="중기경비목록"/>
      <sheetName val="중기경비"/>
      <sheetName val="단가산출서목록"/>
      <sheetName val="단가산출서"/>
      <sheetName val="공량산출서"/>
      <sheetName val="자재단가대비표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8">
          <cell r="F8">
            <v>1</v>
          </cell>
        </row>
        <row r="10">
          <cell r="F10">
            <v>2</v>
          </cell>
        </row>
        <row r="12">
          <cell r="F12">
            <v>1</v>
          </cell>
        </row>
        <row r="14">
          <cell r="F14">
            <v>1</v>
          </cell>
        </row>
        <row r="16">
          <cell r="F16">
            <v>1</v>
          </cell>
        </row>
        <row r="18">
          <cell r="F18">
            <v>1</v>
          </cell>
        </row>
        <row r="20">
          <cell r="F20">
            <v>1</v>
          </cell>
        </row>
        <row r="22">
          <cell r="F22">
            <v>2</v>
          </cell>
        </row>
        <row r="24">
          <cell r="F24">
            <v>2</v>
          </cell>
        </row>
        <row r="26">
          <cell r="F26">
            <v>2</v>
          </cell>
        </row>
        <row r="28">
          <cell r="F28">
            <v>2</v>
          </cell>
        </row>
        <row r="30">
          <cell r="F30">
            <v>2</v>
          </cell>
        </row>
        <row r="41">
          <cell r="G41">
            <v>1</v>
          </cell>
          <cell r="H41">
            <v>1.1000000000000001</v>
          </cell>
          <cell r="I41">
            <v>4.5</v>
          </cell>
        </row>
        <row r="44">
          <cell r="F44">
            <v>122</v>
          </cell>
        </row>
        <row r="46">
          <cell r="F46">
            <v>10</v>
          </cell>
        </row>
        <row r="48">
          <cell r="F48">
            <v>10</v>
          </cell>
        </row>
        <row r="50">
          <cell r="F50">
            <v>116</v>
          </cell>
        </row>
        <row r="59">
          <cell r="H59">
            <v>2.1</v>
          </cell>
          <cell r="J59">
            <v>4</v>
          </cell>
          <cell r="K59">
            <v>2.6</v>
          </cell>
        </row>
        <row r="62">
          <cell r="F62">
            <v>40</v>
          </cell>
        </row>
        <row r="64">
          <cell r="F64">
            <v>40</v>
          </cell>
        </row>
        <row r="77">
          <cell r="H77">
            <v>2.1</v>
          </cell>
          <cell r="J77">
            <v>3.9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19D86"/>
    <pageSetUpPr fitToPage="1"/>
  </sheetPr>
  <dimension ref="A1:J26"/>
  <sheetViews>
    <sheetView tabSelected="1" view="pageBreakPreview" zoomScaleSheetLayoutView="100" workbookViewId="0">
      <selection activeCell="F3" sqref="F3:F4"/>
    </sheetView>
  </sheetViews>
  <sheetFormatPr defaultRowHeight="11.25"/>
  <cols>
    <col min="1" max="2" width="3.625" style="50" customWidth="1"/>
    <col min="3" max="3" width="20.625" style="50" customWidth="1"/>
    <col min="4" max="4" width="44.625" style="45" customWidth="1"/>
    <col min="5" max="5" width="26" style="45" customWidth="1"/>
    <col min="6" max="6" width="23.125" style="45" customWidth="1"/>
    <col min="7" max="10" width="9" style="45" hidden="1" customWidth="1"/>
    <col min="11" max="16384" width="9" style="45"/>
  </cols>
  <sheetData>
    <row r="1" spans="1:10" ht="26.1" customHeight="1">
      <c r="A1" s="142" t="s">
        <v>850</v>
      </c>
      <c r="B1" s="142"/>
      <c r="C1" s="142"/>
      <c r="D1" s="142"/>
      <c r="E1" s="142"/>
      <c r="F1" s="142"/>
    </row>
    <row r="2" spans="1:10" ht="24.75" customHeight="1">
      <c r="A2" s="154" t="s">
        <v>962</v>
      </c>
      <c r="B2" s="154"/>
      <c r="C2" s="154"/>
      <c r="D2" s="154"/>
      <c r="E2" s="155"/>
      <c r="F2" s="155"/>
    </row>
    <row r="3" spans="1:10" ht="18.75" customHeight="1">
      <c r="A3" s="143" t="s">
        <v>851</v>
      </c>
      <c r="B3" s="144"/>
      <c r="C3" s="145"/>
      <c r="D3" s="149" t="s">
        <v>852</v>
      </c>
      <c r="E3" s="149" t="s">
        <v>853</v>
      </c>
      <c r="F3" s="149" t="s">
        <v>475</v>
      </c>
    </row>
    <row r="4" spans="1:10" ht="18.75" customHeight="1">
      <c r="A4" s="146"/>
      <c r="B4" s="147"/>
      <c r="C4" s="148"/>
      <c r="D4" s="150"/>
      <c r="E4" s="150"/>
      <c r="F4" s="150"/>
    </row>
    <row r="5" spans="1:10" ht="18.75" customHeight="1">
      <c r="A5" s="151" t="s">
        <v>893</v>
      </c>
      <c r="B5" s="151" t="s">
        <v>456</v>
      </c>
      <c r="C5" s="52" t="s">
        <v>854</v>
      </c>
      <c r="D5" s="53" t="s">
        <v>19</v>
      </c>
      <c r="E5" s="54">
        <f>집계표!F24</f>
        <v>0</v>
      </c>
      <c r="F5" s="53" t="s">
        <v>19</v>
      </c>
      <c r="G5" s="47" t="s">
        <v>855</v>
      </c>
      <c r="I5" s="46">
        <f>E5</f>
        <v>0</v>
      </c>
    </row>
    <row r="6" spans="1:10" ht="18.75" customHeight="1">
      <c r="A6" s="152"/>
      <c r="B6" s="152"/>
      <c r="C6" s="55" t="s">
        <v>856</v>
      </c>
      <c r="D6" s="56" t="s">
        <v>19</v>
      </c>
      <c r="E6" s="57">
        <f>ROUNDDOWN(SUMIF($G$5:$G$26,"A1",$E$5:$E$26)*J6,0)</f>
        <v>0</v>
      </c>
      <c r="F6" s="56" t="s">
        <v>19</v>
      </c>
      <c r="G6" s="47" t="s">
        <v>857</v>
      </c>
      <c r="I6" s="46">
        <f>E6</f>
        <v>0</v>
      </c>
    </row>
    <row r="7" spans="1:10" ht="18.75" customHeight="1">
      <c r="A7" s="152"/>
      <c r="B7" s="152"/>
      <c r="C7" s="58" t="s">
        <v>858</v>
      </c>
      <c r="D7" s="59" t="s">
        <v>19</v>
      </c>
      <c r="E7" s="60"/>
      <c r="F7" s="59" t="s">
        <v>19</v>
      </c>
      <c r="G7" s="47" t="s">
        <v>859</v>
      </c>
      <c r="I7" s="46">
        <f>E7</f>
        <v>0</v>
      </c>
    </row>
    <row r="8" spans="1:10" ht="18.75" customHeight="1">
      <c r="A8" s="152"/>
      <c r="B8" s="153"/>
      <c r="C8" s="112" t="s">
        <v>860</v>
      </c>
      <c r="D8" s="113" t="s">
        <v>19</v>
      </c>
      <c r="E8" s="114">
        <f>SUM(E5:E6)-ABS(SUMIF($G$5:$G$26,"A3",$E$5:$E$26))</f>
        <v>0</v>
      </c>
      <c r="F8" s="113" t="s">
        <v>19</v>
      </c>
      <c r="G8" s="47" t="s">
        <v>861</v>
      </c>
      <c r="I8" s="46">
        <f>E8</f>
        <v>0</v>
      </c>
    </row>
    <row r="9" spans="1:10" ht="18.75" customHeight="1">
      <c r="A9" s="152"/>
      <c r="B9" s="151" t="s">
        <v>461</v>
      </c>
      <c r="C9" s="52" t="s">
        <v>862</v>
      </c>
      <c r="D9" s="53" t="s">
        <v>19</v>
      </c>
      <c r="E9" s="54">
        <f>집계표!H24</f>
        <v>0</v>
      </c>
      <c r="F9" s="53" t="s">
        <v>19</v>
      </c>
      <c r="G9" s="47" t="s">
        <v>863</v>
      </c>
      <c r="I9" s="46">
        <f>E9</f>
        <v>0</v>
      </c>
    </row>
    <row r="10" spans="1:10" ht="18.75" customHeight="1">
      <c r="A10" s="152"/>
      <c r="B10" s="152"/>
      <c r="C10" s="58" t="s">
        <v>864</v>
      </c>
      <c r="D10" s="61" t="str">
        <f>"직.노*"&amp;H10*100&amp;"%"</f>
        <v>직.노*9.1%</v>
      </c>
      <c r="E10" s="60">
        <f>TRUNC(E9*0.091)</f>
        <v>0</v>
      </c>
      <c r="F10" s="61" t="s">
        <v>976</v>
      </c>
      <c r="G10" s="47" t="s">
        <v>865</v>
      </c>
      <c r="H10" s="48">
        <v>9.0999999999999998E-2</v>
      </c>
      <c r="I10" s="46">
        <f>ROUNDDOWN(SUMIF($G$5:$G$26,"B1",$I$5:$I$26)*H10,0)</f>
        <v>0</v>
      </c>
      <c r="J10" s="48">
        <v>9.0999999999999998E-2</v>
      </c>
    </row>
    <row r="11" spans="1:10" ht="18.75" customHeight="1">
      <c r="A11" s="152"/>
      <c r="B11" s="153"/>
      <c r="C11" s="112" t="s">
        <v>866</v>
      </c>
      <c r="D11" s="113" t="s">
        <v>19</v>
      </c>
      <c r="E11" s="114">
        <f>SUM(E9:E10)</f>
        <v>0</v>
      </c>
      <c r="F11" s="113" t="s">
        <v>19</v>
      </c>
      <c r="G11" s="47" t="s">
        <v>867</v>
      </c>
      <c r="I11" s="46">
        <f>E11</f>
        <v>0</v>
      </c>
    </row>
    <row r="12" spans="1:10" ht="18.75" customHeight="1">
      <c r="A12" s="152"/>
      <c r="B12" s="151" t="s">
        <v>450</v>
      </c>
      <c r="C12" s="52" t="s">
        <v>868</v>
      </c>
      <c r="D12" s="53" t="s">
        <v>19</v>
      </c>
      <c r="E12" s="54">
        <f>집계표!J24</f>
        <v>0</v>
      </c>
      <c r="F12" s="53" t="s">
        <v>19</v>
      </c>
      <c r="G12" s="47" t="s">
        <v>869</v>
      </c>
      <c r="I12" s="46">
        <f>E12</f>
        <v>0</v>
      </c>
    </row>
    <row r="13" spans="1:10" ht="18.75" customHeight="1">
      <c r="A13" s="152"/>
      <c r="B13" s="152"/>
      <c r="C13" s="55" t="s">
        <v>870</v>
      </c>
      <c r="D13" s="62" t="str">
        <f>"(노)*"&amp;H13*100&amp;"%"</f>
        <v>(노)*3.8%</v>
      </c>
      <c r="E13" s="57">
        <f>TRUNC(E11*0.038)</f>
        <v>0</v>
      </c>
      <c r="F13" s="62" t="s">
        <v>977</v>
      </c>
      <c r="G13" s="47" t="s">
        <v>871</v>
      </c>
      <c r="H13" s="48">
        <v>3.7999999999999999E-2</v>
      </c>
      <c r="I13" s="46">
        <f>ROUNDDOWN((SUMIF($G$5:$G$26,"B",$I$5:$I$26))*H13,0)</f>
        <v>0</v>
      </c>
      <c r="J13" s="48">
        <v>3.7999999999999999E-2</v>
      </c>
    </row>
    <row r="14" spans="1:10" ht="18.75" customHeight="1">
      <c r="A14" s="152"/>
      <c r="B14" s="152"/>
      <c r="C14" s="55" t="s">
        <v>872</v>
      </c>
      <c r="D14" s="62" t="str">
        <f>"(노)*"&amp;H14*100&amp;"%"</f>
        <v>(노)*0.87%</v>
      </c>
      <c r="E14" s="57">
        <f>TRUNC(E11*0.0087)</f>
        <v>0</v>
      </c>
      <c r="F14" s="62" t="s">
        <v>978</v>
      </c>
      <c r="G14" s="47" t="s">
        <v>873</v>
      </c>
      <c r="H14" s="48">
        <v>8.6999999999999994E-3</v>
      </c>
      <c r="I14" s="46">
        <f>ROUNDDOWN((SUMIF($G$5:$G$26,"B",$I$5:$I$26))*H14,0)</f>
        <v>0</v>
      </c>
      <c r="J14" s="48">
        <v>8.6999999999999994E-3</v>
      </c>
    </row>
    <row r="15" spans="1:10" ht="18.75" customHeight="1">
      <c r="A15" s="152"/>
      <c r="B15" s="152"/>
      <c r="C15" s="55" t="s">
        <v>874</v>
      </c>
      <c r="D15" s="62" t="str">
        <f>"(재+직.노)*"&amp;H15*100&amp;"%"</f>
        <v>(재+직.노)*2.93%</v>
      </c>
      <c r="E15" s="57">
        <f>TRUNC((E8+E9)*0.0293)</f>
        <v>0</v>
      </c>
      <c r="F15" s="62" t="s">
        <v>979</v>
      </c>
      <c r="G15" s="47" t="s">
        <v>875</v>
      </c>
      <c r="H15" s="48">
        <v>2.93E-2</v>
      </c>
      <c r="I15" s="46">
        <f>ROUNDDOWN((SUMIF($G$5:$G$26,"A",$I$5:$I$26)+SUMIF($G$5:$G$26,"B1",$I$5:$I$26))*H15,0)</f>
        <v>0</v>
      </c>
      <c r="J15" s="48">
        <v>2.93E-2</v>
      </c>
    </row>
    <row r="16" spans="1:10" ht="18.75" customHeight="1">
      <c r="A16" s="152"/>
      <c r="B16" s="152"/>
      <c r="C16" s="55" t="s">
        <v>876</v>
      </c>
      <c r="D16" s="62" t="str">
        <f>"(재+노)*"&amp;H16*100&amp;"%"</f>
        <v>(재+노)*4.05%</v>
      </c>
      <c r="E16" s="57">
        <f>TRUNC((E8+E11)*0.0405)</f>
        <v>0</v>
      </c>
      <c r="F16" s="62" t="s">
        <v>980</v>
      </c>
      <c r="G16" s="47" t="s">
        <v>877</v>
      </c>
      <c r="H16" s="48">
        <v>4.0500000000000001E-2</v>
      </c>
      <c r="I16" s="46">
        <f>ROUNDDOWN((SUMIF($G$5:$G$26,"A",$I$5:$I$26)+SUMIF($G$5:$G$26,"B",$I$5:$I$26))*H16,0)</f>
        <v>0</v>
      </c>
      <c r="J16" s="48">
        <v>4.0500000000000001E-2</v>
      </c>
    </row>
    <row r="17" spans="1:10" ht="18.75" customHeight="1">
      <c r="A17" s="152"/>
      <c r="B17" s="152"/>
      <c r="C17" s="58" t="s">
        <v>878</v>
      </c>
      <c r="D17" s="61" t="str">
        <f>"(재+직.노+기.경)*"&amp;H17*100&amp;"%"</f>
        <v>(재+직.노+기.경)*0.3%</v>
      </c>
      <c r="E17" s="60">
        <f>TRUNC((E8+E9+E12)*0.003)</f>
        <v>0</v>
      </c>
      <c r="F17" s="62" t="s">
        <v>981</v>
      </c>
      <c r="G17" s="47" t="s">
        <v>879</v>
      </c>
      <c r="H17" s="48">
        <v>3.0000000000000001E-3</v>
      </c>
      <c r="I17" s="46">
        <f>ROUNDDOWN((SUMIF($G$5:$G$26,"A",$I$5:$I$26)+SUMIF($G$5:$G$26,"B1",$I$5:$I$26)+SUMIF($G$5:$G$26,"C4",$I$5:$I$26))*H17,0)</f>
        <v>0</v>
      </c>
      <c r="J17" s="48">
        <v>3.0000000000000001E-3</v>
      </c>
    </row>
    <row r="18" spans="1:10" ht="18.75" customHeight="1">
      <c r="A18" s="152"/>
      <c r="B18" s="153"/>
      <c r="C18" s="112" t="s">
        <v>866</v>
      </c>
      <c r="D18" s="113" t="s">
        <v>19</v>
      </c>
      <c r="E18" s="114">
        <f>SUM(E12:E17)</f>
        <v>0</v>
      </c>
      <c r="F18" s="113" t="s">
        <v>19</v>
      </c>
      <c r="G18" s="47" t="s">
        <v>880</v>
      </c>
      <c r="I18" s="46">
        <f>E18</f>
        <v>0</v>
      </c>
    </row>
    <row r="19" spans="1:10" ht="18.75" customHeight="1">
      <c r="A19" s="153"/>
      <c r="B19" s="139" t="s">
        <v>881</v>
      </c>
      <c r="C19" s="141"/>
      <c r="D19" s="113" t="s">
        <v>19</v>
      </c>
      <c r="E19" s="114">
        <f>E8+E11+E18</f>
        <v>0</v>
      </c>
      <c r="F19" s="113" t="s">
        <v>19</v>
      </c>
      <c r="G19" s="47" t="s">
        <v>882</v>
      </c>
      <c r="I19" s="46">
        <f>E19</f>
        <v>0</v>
      </c>
    </row>
    <row r="20" spans="1:10" ht="18.75" customHeight="1">
      <c r="A20" s="139" t="s">
        <v>883</v>
      </c>
      <c r="B20" s="140"/>
      <c r="C20" s="141"/>
      <c r="D20" s="115" t="str">
        <f>"(재+노+경)*"&amp;H20*100&amp;"%"</f>
        <v>(재+노+경)*6%</v>
      </c>
      <c r="E20" s="114">
        <f>TRUNC((E8+E11+E18)*0.06)</f>
        <v>0</v>
      </c>
      <c r="F20" s="115" t="s">
        <v>982</v>
      </c>
      <c r="G20" s="47" t="s">
        <v>884</v>
      </c>
      <c r="H20" s="49">
        <v>0.06</v>
      </c>
      <c r="I20" s="46">
        <f>ROUNDDOWN((SUMIF($G$5:$G$26,"A",$I$5:$I$26)+SUMIF($G$5:$G$26,"B",$I$5:$I$26)+SUMIF($G$5:$G$26,"C",$I$5:$I$26))*H20,0)</f>
        <v>0</v>
      </c>
      <c r="J20" s="49">
        <v>0.06</v>
      </c>
    </row>
    <row r="21" spans="1:10" ht="18.75" customHeight="1">
      <c r="A21" s="139" t="s">
        <v>885</v>
      </c>
      <c r="B21" s="140"/>
      <c r="C21" s="141"/>
      <c r="D21" s="115" t="str">
        <f>"(노+경+일)*"&amp;H21*100&amp;"%"</f>
        <v>(노+경+일)*11.68%</v>
      </c>
      <c r="E21" s="114">
        <f>TRUNC((E11+E18+E20)*0.1168)</f>
        <v>0</v>
      </c>
      <c r="F21" s="115" t="s">
        <v>983</v>
      </c>
      <c r="G21" s="47" t="s">
        <v>483</v>
      </c>
      <c r="H21" s="48">
        <v>0.1168</v>
      </c>
      <c r="I21" s="46">
        <f>ROUND((SUMIF($G$5:$G$26,"B",$I$5:$I$26)+SUMIF($G$5:$G$26,"C",$I$5:$I$26)+SUMIF($G$5:$G$26,"D",$I$5:$I$26))*H21, 0)+K21</f>
        <v>0</v>
      </c>
      <c r="J21" s="48">
        <v>0.1168</v>
      </c>
    </row>
    <row r="22" spans="1:10" ht="18.75" customHeight="1">
      <c r="A22" s="139" t="s">
        <v>886</v>
      </c>
      <c r="B22" s="140"/>
      <c r="C22" s="141"/>
      <c r="D22" s="113" t="s">
        <v>19</v>
      </c>
      <c r="E22" s="114">
        <f>집계표!L17</f>
        <v>0</v>
      </c>
      <c r="F22" s="113" t="s">
        <v>19</v>
      </c>
      <c r="G22" s="47" t="s">
        <v>72</v>
      </c>
      <c r="I22" s="46">
        <f>E22</f>
        <v>0</v>
      </c>
    </row>
    <row r="23" spans="1:10" ht="18.75" customHeight="1">
      <c r="A23" s="139" t="s">
        <v>887</v>
      </c>
      <c r="B23" s="140"/>
      <c r="C23" s="141"/>
      <c r="D23" s="113" t="s">
        <v>19</v>
      </c>
      <c r="E23" s="114">
        <f>SUM(E19:E22)</f>
        <v>0</v>
      </c>
      <c r="F23" s="113" t="s">
        <v>19</v>
      </c>
      <c r="G23" s="47" t="s">
        <v>888</v>
      </c>
      <c r="I23" s="46">
        <f>SUM(I19:I22)</f>
        <v>0</v>
      </c>
    </row>
    <row r="24" spans="1:10" ht="18.75" customHeight="1">
      <c r="A24" s="139" t="s">
        <v>889</v>
      </c>
      <c r="B24" s="140"/>
      <c r="C24" s="141"/>
      <c r="D24" s="115" t="str">
        <f>"(총원가)*"&amp;H24*100&amp;"%"</f>
        <v>(총원가)*10%</v>
      </c>
      <c r="E24" s="114">
        <f>E23*10%</f>
        <v>0</v>
      </c>
      <c r="F24" s="113" t="s">
        <v>19</v>
      </c>
      <c r="G24" s="47" t="s">
        <v>890</v>
      </c>
      <c r="H24" s="49">
        <v>0.1</v>
      </c>
      <c r="I24" s="46">
        <f>ROUNDDOWN((SUMIF($G$5:$G$26,"F",$I$5:$I$26))*H24,0)</f>
        <v>0</v>
      </c>
      <c r="J24" s="49">
        <v>0.1</v>
      </c>
    </row>
    <row r="25" spans="1:10" ht="18.75" customHeight="1">
      <c r="A25" s="139" t="s">
        <v>891</v>
      </c>
      <c r="B25" s="140"/>
      <c r="C25" s="141"/>
      <c r="D25" s="113" t="s">
        <v>19</v>
      </c>
      <c r="E25" s="114">
        <f>INT(I25/1000)*1000</f>
        <v>0</v>
      </c>
      <c r="F25" s="113" t="s">
        <v>19</v>
      </c>
      <c r="G25" s="47" t="s">
        <v>892</v>
      </c>
      <c r="I25" s="46">
        <f>ROUNDDOWN(SUMIF($G$5:$G$26,"F",$I$5:$I$26)+SUMIF($G$5:$G$26,"H",$I$5:$I$26),0)</f>
        <v>0</v>
      </c>
    </row>
    <row r="26" spans="1:10" ht="15.95" customHeight="1">
      <c r="A26" s="51"/>
      <c r="B26" s="51"/>
      <c r="C26" s="51"/>
      <c r="D26" s="72"/>
      <c r="E26" s="72"/>
      <c r="F26" s="72"/>
    </row>
  </sheetData>
  <mergeCells count="18">
    <mergeCell ref="A21:C21"/>
    <mergeCell ref="A22:C22"/>
    <mergeCell ref="A23:C23"/>
    <mergeCell ref="A24:C24"/>
    <mergeCell ref="A25:C25"/>
    <mergeCell ref="A20:C20"/>
    <mergeCell ref="A1:F1"/>
    <mergeCell ref="A3:C4"/>
    <mergeCell ref="D3:D4"/>
    <mergeCell ref="E3:E4"/>
    <mergeCell ref="F3:F4"/>
    <mergeCell ref="A5:A19"/>
    <mergeCell ref="B5:B8"/>
    <mergeCell ref="B9:B11"/>
    <mergeCell ref="B12:B18"/>
    <mergeCell ref="B19:C19"/>
    <mergeCell ref="A2:D2"/>
    <mergeCell ref="E2:F2"/>
  </mergeCells>
  <phoneticPr fontId="3" type="noConversion"/>
  <pageMargins left="0.74803149606299213" right="0.19685039370078738" top="0.74803149606299213" bottom="0.55118110236220463" header="0.51181102362204722" footer="0.51181102362204722"/>
  <pageSetup paperSize="9" fitToHeight="20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19D86"/>
  </sheetPr>
  <dimension ref="A1:AL33"/>
  <sheetViews>
    <sheetView view="pageBreakPreview" zoomScale="115" zoomScaleSheetLayoutView="115" workbookViewId="0">
      <selection activeCell="M17" sqref="M17"/>
    </sheetView>
  </sheetViews>
  <sheetFormatPr defaultRowHeight="10.5"/>
  <cols>
    <col min="1" max="1" width="21.625" style="27" customWidth="1"/>
    <col min="2" max="2" width="10.625" style="27" customWidth="1"/>
    <col min="3" max="3" width="3.625" style="28" customWidth="1"/>
    <col min="4" max="4" width="6.625" style="28" customWidth="1"/>
    <col min="5" max="5" width="7.625" style="29" customWidth="1"/>
    <col min="6" max="6" width="10.625" style="29" customWidth="1"/>
    <col min="7" max="7" width="7.625" style="29" customWidth="1"/>
    <col min="8" max="8" width="10.625" style="29" customWidth="1"/>
    <col min="9" max="9" width="7.625" style="29" customWidth="1"/>
    <col min="10" max="10" width="10.625" style="29" customWidth="1"/>
    <col min="11" max="11" width="7.625" style="29" customWidth="1"/>
    <col min="12" max="12" width="10.625" style="29" customWidth="1"/>
    <col min="13" max="13" width="6.625" style="30" customWidth="1"/>
    <col min="14" max="38" width="0" style="27" hidden="1" customWidth="1"/>
    <col min="39" max="16384" width="9" style="27"/>
  </cols>
  <sheetData>
    <row r="1" spans="1:38" ht="26.1" customHeight="1">
      <c r="A1" s="142" t="s">
        <v>849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</row>
    <row r="2" spans="1:38" ht="20.100000000000001" customHeight="1">
      <c r="A2" s="157" t="s">
        <v>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</row>
    <row r="3" spans="1:38" ht="20.100000000000001" customHeight="1">
      <c r="A3" s="156" t="s">
        <v>816</v>
      </c>
      <c r="B3" s="156" t="s">
        <v>817</v>
      </c>
      <c r="C3" s="156" t="s">
        <v>4</v>
      </c>
      <c r="D3" s="156" t="s">
        <v>384</v>
      </c>
      <c r="E3" s="156" t="s">
        <v>510</v>
      </c>
      <c r="F3" s="156"/>
      <c r="G3" s="156" t="s">
        <v>511</v>
      </c>
      <c r="H3" s="156"/>
      <c r="I3" s="156" t="s">
        <v>512</v>
      </c>
      <c r="J3" s="156"/>
      <c r="K3" s="156" t="s">
        <v>513</v>
      </c>
      <c r="L3" s="156"/>
      <c r="M3" s="156" t="s">
        <v>388</v>
      </c>
    </row>
    <row r="4" spans="1:38" ht="20.100000000000001" customHeight="1">
      <c r="A4" s="156"/>
      <c r="B4" s="156"/>
      <c r="C4" s="156"/>
      <c r="D4" s="156"/>
      <c r="E4" s="87" t="s">
        <v>441</v>
      </c>
      <c r="F4" s="87" t="s">
        <v>716</v>
      </c>
      <c r="G4" s="87" t="s">
        <v>441</v>
      </c>
      <c r="H4" s="87" t="s">
        <v>716</v>
      </c>
      <c r="I4" s="87" t="s">
        <v>441</v>
      </c>
      <c r="J4" s="87" t="s">
        <v>716</v>
      </c>
      <c r="K4" s="87" t="s">
        <v>441</v>
      </c>
      <c r="L4" s="87" t="s">
        <v>716</v>
      </c>
      <c r="M4" s="156"/>
      <c r="N4" s="27" t="s">
        <v>443</v>
      </c>
      <c r="O4" s="27" t="s">
        <v>444</v>
      </c>
      <c r="P4" s="27" t="s">
        <v>445</v>
      </c>
      <c r="Q4" s="27" t="s">
        <v>446</v>
      </c>
      <c r="R4" s="27" t="s">
        <v>452</v>
      </c>
      <c r="S4" s="27" t="s">
        <v>818</v>
      </c>
      <c r="T4" s="27" t="s">
        <v>819</v>
      </c>
      <c r="U4" s="27" t="s">
        <v>820</v>
      </c>
      <c r="V4" s="27" t="s">
        <v>821</v>
      </c>
      <c r="W4" s="27" t="s">
        <v>822</v>
      </c>
      <c r="X4" s="27" t="s">
        <v>823</v>
      </c>
      <c r="Y4" s="27" t="s">
        <v>824</v>
      </c>
      <c r="Z4" s="27" t="s">
        <v>825</v>
      </c>
      <c r="AA4" s="27" t="s">
        <v>826</v>
      </c>
      <c r="AB4" s="27" t="s">
        <v>827</v>
      </c>
      <c r="AC4" s="27" t="s">
        <v>828</v>
      </c>
      <c r="AD4" s="27" t="s">
        <v>829</v>
      </c>
      <c r="AE4" s="27" t="s">
        <v>830</v>
      </c>
      <c r="AF4" s="27" t="s">
        <v>831</v>
      </c>
      <c r="AG4" s="27" t="s">
        <v>832</v>
      </c>
      <c r="AH4" s="27" t="s">
        <v>833</v>
      </c>
      <c r="AI4" s="27" t="s">
        <v>834</v>
      </c>
      <c r="AJ4" s="27" t="s">
        <v>835</v>
      </c>
      <c r="AK4" s="27" t="s">
        <v>836</v>
      </c>
      <c r="AL4" s="27" t="s">
        <v>837</v>
      </c>
    </row>
    <row r="5" spans="1:38" ht="20.100000000000001" customHeight="1">
      <c r="A5" s="88" t="s">
        <v>838</v>
      </c>
      <c r="B5" s="88" t="s">
        <v>19</v>
      </c>
      <c r="C5" s="39" t="s">
        <v>459</v>
      </c>
      <c r="D5" s="111">
        <v>1</v>
      </c>
      <c r="E5" s="37">
        <f>내역서!F24</f>
        <v>0</v>
      </c>
      <c r="F5" s="37">
        <f t="shared" ref="F5:F17" si="0">D5*E5</f>
        <v>0</v>
      </c>
      <c r="G5" s="37">
        <f>내역서!H24</f>
        <v>0</v>
      </c>
      <c r="H5" s="37">
        <f t="shared" ref="H5:H17" si="1">D5*G5</f>
        <v>0</v>
      </c>
      <c r="I5" s="37">
        <f>내역서!J24</f>
        <v>0</v>
      </c>
      <c r="J5" s="37">
        <f t="shared" ref="J5:J17" si="2">D5*I5</f>
        <v>0</v>
      </c>
      <c r="K5" s="37">
        <f t="shared" ref="K5:K17" si="3">E5+G5+I5</f>
        <v>0</v>
      </c>
      <c r="L5" s="37">
        <f t="shared" ref="L5:L17" si="4">F5+H5+J5</f>
        <v>0</v>
      </c>
      <c r="M5" s="71" t="s">
        <v>19</v>
      </c>
      <c r="Q5" s="27">
        <v>1</v>
      </c>
      <c r="R5" s="27">
        <f>내역서!R24*D5</f>
        <v>0</v>
      </c>
      <c r="S5" s="27">
        <f>내역서!S24*D5</f>
        <v>0</v>
      </c>
      <c r="T5" s="27">
        <f>내역서!T24*D5</f>
        <v>0</v>
      </c>
      <c r="U5" s="27">
        <f>내역서!U24*D5</f>
        <v>0</v>
      </c>
      <c r="V5" s="27">
        <f>내역서!V24*D5</f>
        <v>0</v>
      </c>
      <c r="W5" s="27">
        <f>내역서!W24*D5</f>
        <v>0</v>
      </c>
      <c r="X5" s="27">
        <f>내역서!X24*D5</f>
        <v>0</v>
      </c>
      <c r="Y5" s="27">
        <f>내역서!Y24*D5</f>
        <v>0</v>
      </c>
      <c r="Z5" s="27">
        <f>내역서!Z24*D5</f>
        <v>0</v>
      </c>
      <c r="AA5" s="27">
        <f>내역서!AA24*D5</f>
        <v>0</v>
      </c>
      <c r="AB5" s="27">
        <f>내역서!AB24*D5</f>
        <v>0</v>
      </c>
      <c r="AC5" s="27">
        <f>내역서!AC24*D5</f>
        <v>0</v>
      </c>
      <c r="AD5" s="27">
        <f>내역서!AD24*D5</f>
        <v>0</v>
      </c>
      <c r="AE5" s="27">
        <f>내역서!AE24*D5</f>
        <v>0</v>
      </c>
      <c r="AF5" s="27">
        <f>내역서!AF24*D5</f>
        <v>0</v>
      </c>
      <c r="AG5" s="27">
        <f>내역서!AG24*D5</f>
        <v>0</v>
      </c>
      <c r="AH5" s="27">
        <f>내역서!AH24*D5</f>
        <v>0</v>
      </c>
      <c r="AI5" s="27">
        <f>내역서!AI24*D5</f>
        <v>0</v>
      </c>
      <c r="AJ5" s="27">
        <f>내역서!AJ24*D5</f>
        <v>0</v>
      </c>
      <c r="AK5" s="27">
        <f>내역서!AK24*D5</f>
        <v>0</v>
      </c>
      <c r="AL5" s="27">
        <f>내역서!AL24*D5</f>
        <v>0</v>
      </c>
    </row>
    <row r="6" spans="1:38" ht="20.100000000000001" customHeight="1">
      <c r="A6" s="88" t="s">
        <v>839</v>
      </c>
      <c r="B6" s="88" t="s">
        <v>19</v>
      </c>
      <c r="C6" s="39" t="s">
        <v>459</v>
      </c>
      <c r="D6" s="111">
        <v>1</v>
      </c>
      <c r="E6" s="37">
        <f>내역서!F44</f>
        <v>0</v>
      </c>
      <c r="F6" s="37">
        <f t="shared" si="0"/>
        <v>0</v>
      </c>
      <c r="G6" s="37">
        <f>내역서!H44</f>
        <v>0</v>
      </c>
      <c r="H6" s="37">
        <f t="shared" si="1"/>
        <v>0</v>
      </c>
      <c r="I6" s="37">
        <f>내역서!J44</f>
        <v>0</v>
      </c>
      <c r="J6" s="37">
        <f t="shared" si="2"/>
        <v>0</v>
      </c>
      <c r="K6" s="37">
        <f t="shared" si="3"/>
        <v>0</v>
      </c>
      <c r="L6" s="37">
        <f t="shared" si="4"/>
        <v>0</v>
      </c>
      <c r="M6" s="71" t="s">
        <v>19</v>
      </c>
      <c r="Q6" s="27">
        <v>1</v>
      </c>
      <c r="R6" s="27">
        <f>내역서!R44*D6</f>
        <v>0</v>
      </c>
      <c r="S6" s="27">
        <f>내역서!S44*D6</f>
        <v>0</v>
      </c>
      <c r="T6" s="27">
        <f>내역서!T44*D6</f>
        <v>0</v>
      </c>
      <c r="U6" s="27">
        <f>내역서!U44*D6</f>
        <v>0</v>
      </c>
      <c r="V6" s="27">
        <f>내역서!V44*D6</f>
        <v>0</v>
      </c>
      <c r="W6" s="27">
        <f>내역서!W44*D6</f>
        <v>0</v>
      </c>
      <c r="X6" s="27">
        <f>내역서!X44*D6</f>
        <v>0</v>
      </c>
      <c r="Y6" s="27">
        <f>내역서!Y44*D6</f>
        <v>0</v>
      </c>
      <c r="Z6" s="27">
        <f>내역서!Z44*D6</f>
        <v>0</v>
      </c>
      <c r="AA6" s="27">
        <f>내역서!AA44*D6</f>
        <v>0</v>
      </c>
      <c r="AB6" s="27">
        <f>내역서!AB44*D6</f>
        <v>0</v>
      </c>
      <c r="AC6" s="27">
        <f>내역서!AC44*D6</f>
        <v>0</v>
      </c>
      <c r="AD6" s="27">
        <f>내역서!AD44*D6</f>
        <v>0</v>
      </c>
      <c r="AE6" s="27">
        <f>내역서!AE44*D6</f>
        <v>0</v>
      </c>
      <c r="AF6" s="27">
        <f>내역서!AF44*D6</f>
        <v>0</v>
      </c>
      <c r="AG6" s="27">
        <f>내역서!AG44*D6</f>
        <v>0</v>
      </c>
      <c r="AH6" s="27">
        <f>내역서!AH44*D6</f>
        <v>0</v>
      </c>
      <c r="AI6" s="27">
        <f>내역서!AI44*D6</f>
        <v>0</v>
      </c>
      <c r="AJ6" s="27">
        <f>내역서!AJ44*D6</f>
        <v>0</v>
      </c>
      <c r="AK6" s="27">
        <f>내역서!AK44*D6</f>
        <v>0</v>
      </c>
      <c r="AL6" s="27">
        <f>내역서!AL44*D6</f>
        <v>0</v>
      </c>
    </row>
    <row r="7" spans="1:38" ht="20.100000000000001" customHeight="1">
      <c r="A7" s="88" t="s">
        <v>840</v>
      </c>
      <c r="B7" s="88" t="s">
        <v>19</v>
      </c>
      <c r="C7" s="39" t="s">
        <v>459</v>
      </c>
      <c r="D7" s="111">
        <v>1</v>
      </c>
      <c r="E7" s="37">
        <f>내역서!F64</f>
        <v>0</v>
      </c>
      <c r="F7" s="37">
        <f t="shared" si="0"/>
        <v>0</v>
      </c>
      <c r="G7" s="37">
        <f>내역서!H64</f>
        <v>0</v>
      </c>
      <c r="H7" s="37">
        <f t="shared" si="1"/>
        <v>0</v>
      </c>
      <c r="I7" s="37">
        <f>내역서!J64</f>
        <v>0</v>
      </c>
      <c r="J7" s="37">
        <f t="shared" si="2"/>
        <v>0</v>
      </c>
      <c r="K7" s="37">
        <f t="shared" si="3"/>
        <v>0</v>
      </c>
      <c r="L7" s="37">
        <f t="shared" si="4"/>
        <v>0</v>
      </c>
      <c r="M7" s="71" t="s">
        <v>19</v>
      </c>
      <c r="Q7" s="27">
        <v>1</v>
      </c>
      <c r="R7" s="27">
        <f>내역서!R64*D7</f>
        <v>0</v>
      </c>
      <c r="S7" s="27">
        <f>내역서!S64*D7</f>
        <v>0</v>
      </c>
      <c r="T7" s="27">
        <f>내역서!T64*D7</f>
        <v>0</v>
      </c>
      <c r="U7" s="27">
        <f>내역서!U64*D7</f>
        <v>0</v>
      </c>
      <c r="V7" s="27">
        <f>내역서!V64*D7</f>
        <v>0</v>
      </c>
      <c r="W7" s="27">
        <f>내역서!W64*D7</f>
        <v>0</v>
      </c>
      <c r="X7" s="27">
        <f>내역서!X64*D7</f>
        <v>0</v>
      </c>
      <c r="Y7" s="27">
        <f>내역서!Y64*D7</f>
        <v>0</v>
      </c>
      <c r="Z7" s="27">
        <f>내역서!Z64*D7</f>
        <v>0</v>
      </c>
      <c r="AA7" s="27">
        <f>내역서!AA64*D7</f>
        <v>0</v>
      </c>
      <c r="AB7" s="27">
        <f>내역서!AB64*D7</f>
        <v>0</v>
      </c>
      <c r="AC7" s="27">
        <f>내역서!AC64*D7</f>
        <v>0</v>
      </c>
      <c r="AD7" s="27">
        <f>내역서!AD64*D7</f>
        <v>0</v>
      </c>
      <c r="AE7" s="27">
        <f>내역서!AE64*D7</f>
        <v>0</v>
      </c>
      <c r="AF7" s="27">
        <f>내역서!AF64*D7</f>
        <v>0</v>
      </c>
      <c r="AG7" s="27">
        <f>내역서!AG64*D7</f>
        <v>0</v>
      </c>
      <c r="AH7" s="27">
        <f>내역서!AH64*D7</f>
        <v>0</v>
      </c>
      <c r="AI7" s="27">
        <f>내역서!AI64*D7</f>
        <v>0</v>
      </c>
      <c r="AJ7" s="27">
        <f>내역서!AJ64*D7</f>
        <v>0</v>
      </c>
      <c r="AK7" s="27">
        <f>내역서!AK64*D7</f>
        <v>0</v>
      </c>
      <c r="AL7" s="27">
        <f>내역서!AL64*D7</f>
        <v>0</v>
      </c>
    </row>
    <row r="8" spans="1:38" ht="20.100000000000001" customHeight="1">
      <c r="A8" s="88" t="s">
        <v>841</v>
      </c>
      <c r="B8" s="88" t="s">
        <v>19</v>
      </c>
      <c r="C8" s="39" t="s">
        <v>459</v>
      </c>
      <c r="D8" s="111">
        <v>1</v>
      </c>
      <c r="E8" s="37">
        <f>내역서!F84</f>
        <v>0</v>
      </c>
      <c r="F8" s="37">
        <f t="shared" si="0"/>
        <v>0</v>
      </c>
      <c r="G8" s="37">
        <f>내역서!H84</f>
        <v>0</v>
      </c>
      <c r="H8" s="37">
        <f t="shared" si="1"/>
        <v>0</v>
      </c>
      <c r="I8" s="37">
        <f>내역서!J84</f>
        <v>0</v>
      </c>
      <c r="J8" s="37">
        <f t="shared" si="2"/>
        <v>0</v>
      </c>
      <c r="K8" s="37">
        <f t="shared" si="3"/>
        <v>0</v>
      </c>
      <c r="L8" s="37">
        <f t="shared" si="4"/>
        <v>0</v>
      </c>
      <c r="M8" s="71" t="s">
        <v>19</v>
      </c>
      <c r="Q8" s="27">
        <v>1</v>
      </c>
      <c r="R8" s="27">
        <f>내역서!R84*D8</f>
        <v>0</v>
      </c>
      <c r="S8" s="27">
        <f>내역서!S84*D8</f>
        <v>0</v>
      </c>
      <c r="T8" s="27">
        <f>내역서!T84*D8</f>
        <v>0</v>
      </c>
      <c r="U8" s="27">
        <f>내역서!U84*D8</f>
        <v>0</v>
      </c>
      <c r="V8" s="27">
        <f>내역서!V84*D8</f>
        <v>0</v>
      </c>
      <c r="W8" s="27">
        <f>내역서!W84*D8</f>
        <v>0</v>
      </c>
      <c r="X8" s="27">
        <f>내역서!X84*D8</f>
        <v>0</v>
      </c>
      <c r="Y8" s="27">
        <f>내역서!Y84*D8</f>
        <v>0</v>
      </c>
      <c r="Z8" s="27">
        <f>내역서!Z84*D8</f>
        <v>0</v>
      </c>
      <c r="AA8" s="27">
        <f>내역서!AA84*D8</f>
        <v>0</v>
      </c>
      <c r="AB8" s="27">
        <f>내역서!AB84*D8</f>
        <v>0</v>
      </c>
      <c r="AC8" s="27">
        <f>내역서!AC84*D8</f>
        <v>0</v>
      </c>
      <c r="AD8" s="27">
        <f>내역서!AD84*D8</f>
        <v>0</v>
      </c>
      <c r="AE8" s="27">
        <f>내역서!AE84*D8</f>
        <v>0</v>
      </c>
      <c r="AF8" s="27">
        <f>내역서!AF84*D8</f>
        <v>0</v>
      </c>
      <c r="AG8" s="27">
        <f>내역서!AG84*D8</f>
        <v>0</v>
      </c>
      <c r="AH8" s="27">
        <f>내역서!AH84*D8</f>
        <v>0</v>
      </c>
      <c r="AI8" s="27">
        <f>내역서!AI84*D8</f>
        <v>0</v>
      </c>
      <c r="AJ8" s="27">
        <f>내역서!AJ84*D8</f>
        <v>0</v>
      </c>
      <c r="AK8" s="27">
        <f>내역서!AK84*D8</f>
        <v>0</v>
      </c>
      <c r="AL8" s="27">
        <f>내역서!AL84*D8</f>
        <v>0</v>
      </c>
    </row>
    <row r="9" spans="1:38" ht="20.100000000000001" customHeight="1">
      <c r="A9" s="88" t="s">
        <v>842</v>
      </c>
      <c r="B9" s="88" t="s">
        <v>19</v>
      </c>
      <c r="C9" s="39" t="s">
        <v>459</v>
      </c>
      <c r="D9" s="111">
        <v>1</v>
      </c>
      <c r="E9" s="37">
        <f>내역서!F104</f>
        <v>0</v>
      </c>
      <c r="F9" s="37">
        <f t="shared" si="0"/>
        <v>0</v>
      </c>
      <c r="G9" s="37">
        <f>내역서!H104</f>
        <v>0</v>
      </c>
      <c r="H9" s="37">
        <f t="shared" si="1"/>
        <v>0</v>
      </c>
      <c r="I9" s="37">
        <f>내역서!J104</f>
        <v>0</v>
      </c>
      <c r="J9" s="37">
        <f t="shared" si="2"/>
        <v>0</v>
      </c>
      <c r="K9" s="37">
        <f t="shared" si="3"/>
        <v>0</v>
      </c>
      <c r="L9" s="37">
        <f t="shared" si="4"/>
        <v>0</v>
      </c>
      <c r="M9" s="71" t="s">
        <v>19</v>
      </c>
      <c r="Q9" s="27">
        <v>1</v>
      </c>
      <c r="R9" s="27">
        <f>내역서!R104*D9</f>
        <v>0</v>
      </c>
      <c r="S9" s="27">
        <f>내역서!S104*D9</f>
        <v>0</v>
      </c>
      <c r="T9" s="27">
        <f>내역서!T104*D9</f>
        <v>0</v>
      </c>
      <c r="U9" s="27">
        <f>내역서!U104*D9</f>
        <v>0</v>
      </c>
      <c r="V9" s="27">
        <f>내역서!V104*D9</f>
        <v>0</v>
      </c>
      <c r="W9" s="27">
        <f>내역서!W104*D9</f>
        <v>0</v>
      </c>
      <c r="X9" s="27">
        <f>내역서!X104*D9</f>
        <v>0</v>
      </c>
      <c r="Y9" s="27">
        <f>내역서!Y104*D9</f>
        <v>0</v>
      </c>
      <c r="Z9" s="27">
        <f>내역서!Z104*D9</f>
        <v>0</v>
      </c>
      <c r="AA9" s="27">
        <f>내역서!AA104*D9</f>
        <v>0</v>
      </c>
      <c r="AB9" s="27">
        <f>내역서!AB104*D9</f>
        <v>0</v>
      </c>
      <c r="AC9" s="27">
        <f>내역서!AC104*D9</f>
        <v>0</v>
      </c>
      <c r="AD9" s="27">
        <f>내역서!AD104*D9</f>
        <v>0</v>
      </c>
      <c r="AE9" s="27">
        <f>내역서!AE104*D9</f>
        <v>0</v>
      </c>
      <c r="AF9" s="27">
        <f>내역서!AF104*D9</f>
        <v>0</v>
      </c>
      <c r="AG9" s="27">
        <f>내역서!AG104*D9</f>
        <v>0</v>
      </c>
      <c r="AH9" s="27">
        <f>내역서!AH104*D9</f>
        <v>0</v>
      </c>
      <c r="AI9" s="27">
        <f>내역서!AI104*D9</f>
        <v>0</v>
      </c>
      <c r="AJ9" s="27">
        <f>내역서!AJ104*D9</f>
        <v>0</v>
      </c>
      <c r="AK9" s="27">
        <f>내역서!AK104*D9</f>
        <v>0</v>
      </c>
      <c r="AL9" s="27">
        <f>내역서!AL104*D9</f>
        <v>0</v>
      </c>
    </row>
    <row r="10" spans="1:38" ht="20.100000000000001" customHeight="1">
      <c r="A10" s="88" t="s">
        <v>843</v>
      </c>
      <c r="B10" s="88" t="s">
        <v>19</v>
      </c>
      <c r="C10" s="39" t="s">
        <v>459</v>
      </c>
      <c r="D10" s="111">
        <v>1</v>
      </c>
      <c r="E10" s="37">
        <f>내역서!F124</f>
        <v>0</v>
      </c>
      <c r="F10" s="37">
        <f t="shared" si="0"/>
        <v>0</v>
      </c>
      <c r="G10" s="37">
        <f>내역서!H124</f>
        <v>0</v>
      </c>
      <c r="H10" s="37">
        <f t="shared" si="1"/>
        <v>0</v>
      </c>
      <c r="I10" s="37">
        <f>내역서!J124</f>
        <v>0</v>
      </c>
      <c r="J10" s="37">
        <f t="shared" si="2"/>
        <v>0</v>
      </c>
      <c r="K10" s="37">
        <f t="shared" si="3"/>
        <v>0</v>
      </c>
      <c r="L10" s="37">
        <f t="shared" si="4"/>
        <v>0</v>
      </c>
      <c r="M10" s="71" t="s">
        <v>19</v>
      </c>
      <c r="Q10" s="27">
        <v>1</v>
      </c>
      <c r="R10" s="27">
        <f>내역서!R124*D10</f>
        <v>0</v>
      </c>
      <c r="S10" s="27">
        <f>내역서!S124*D10</f>
        <v>0</v>
      </c>
      <c r="T10" s="27">
        <f>내역서!T124*D10</f>
        <v>0</v>
      </c>
      <c r="U10" s="27">
        <f>내역서!U124*D10</f>
        <v>0</v>
      </c>
      <c r="V10" s="27">
        <f>내역서!V124*D10</f>
        <v>0</v>
      </c>
      <c r="W10" s="27">
        <f>내역서!W124*D10</f>
        <v>0</v>
      </c>
      <c r="X10" s="27">
        <f>내역서!X124*D10</f>
        <v>0</v>
      </c>
      <c r="Y10" s="27">
        <f>내역서!Y124*D10</f>
        <v>0</v>
      </c>
      <c r="Z10" s="27">
        <f>내역서!Z124*D10</f>
        <v>0</v>
      </c>
      <c r="AA10" s="27">
        <f>내역서!AA124*D10</f>
        <v>0</v>
      </c>
      <c r="AB10" s="27">
        <f>내역서!AB124*D10</f>
        <v>0</v>
      </c>
      <c r="AC10" s="27">
        <f>내역서!AC124*D10</f>
        <v>0</v>
      </c>
      <c r="AD10" s="27">
        <f>내역서!AD124*D10</f>
        <v>0</v>
      </c>
      <c r="AE10" s="27">
        <f>내역서!AE124*D10</f>
        <v>0</v>
      </c>
      <c r="AF10" s="27">
        <f>내역서!AF124*D10</f>
        <v>0</v>
      </c>
      <c r="AG10" s="27">
        <f>내역서!AG124*D10</f>
        <v>0</v>
      </c>
      <c r="AH10" s="27">
        <f>내역서!AH124*D10</f>
        <v>0</v>
      </c>
      <c r="AI10" s="27">
        <f>내역서!AI124*D10</f>
        <v>0</v>
      </c>
      <c r="AJ10" s="27">
        <f>내역서!AJ124*D10</f>
        <v>0</v>
      </c>
      <c r="AK10" s="27">
        <f>내역서!AK124*D10</f>
        <v>0</v>
      </c>
      <c r="AL10" s="27">
        <f>내역서!AL124*D10</f>
        <v>0</v>
      </c>
    </row>
    <row r="11" spans="1:38" ht="20.100000000000001" customHeight="1">
      <c r="A11" s="88" t="s">
        <v>844</v>
      </c>
      <c r="B11" s="88" t="s">
        <v>19</v>
      </c>
      <c r="C11" s="39" t="s">
        <v>459</v>
      </c>
      <c r="D11" s="111">
        <v>1</v>
      </c>
      <c r="E11" s="37">
        <f>내역서!F145</f>
        <v>0</v>
      </c>
      <c r="F11" s="37">
        <f t="shared" si="0"/>
        <v>0</v>
      </c>
      <c r="G11" s="37">
        <f>내역서!H145</f>
        <v>0</v>
      </c>
      <c r="H11" s="37">
        <f t="shared" si="1"/>
        <v>0</v>
      </c>
      <c r="I11" s="37">
        <f>내역서!J145</f>
        <v>0</v>
      </c>
      <c r="J11" s="37">
        <f t="shared" si="2"/>
        <v>0</v>
      </c>
      <c r="K11" s="37">
        <f t="shared" si="3"/>
        <v>0</v>
      </c>
      <c r="L11" s="37">
        <f t="shared" si="4"/>
        <v>0</v>
      </c>
      <c r="M11" s="71" t="s">
        <v>19</v>
      </c>
      <c r="Q11" s="27">
        <v>1</v>
      </c>
      <c r="R11" s="27">
        <f>내역서!R145*D11</f>
        <v>0</v>
      </c>
      <c r="S11" s="27">
        <f>내역서!S145*D11</f>
        <v>0</v>
      </c>
      <c r="T11" s="27">
        <f>내역서!T145*D11</f>
        <v>0</v>
      </c>
      <c r="U11" s="27">
        <f>내역서!U145*D11</f>
        <v>0</v>
      </c>
      <c r="V11" s="27">
        <f>내역서!V145*D11</f>
        <v>0</v>
      </c>
      <c r="W11" s="27">
        <f>내역서!W145*D11</f>
        <v>0</v>
      </c>
      <c r="X11" s="27">
        <f>내역서!X145*D11</f>
        <v>0</v>
      </c>
      <c r="Y11" s="27">
        <f>내역서!Y145*D11</f>
        <v>0</v>
      </c>
      <c r="Z11" s="27">
        <f>내역서!Z145*D11</f>
        <v>0</v>
      </c>
      <c r="AA11" s="27">
        <f>내역서!AA145*D11</f>
        <v>0</v>
      </c>
      <c r="AB11" s="27">
        <f>내역서!AB145*D11</f>
        <v>0</v>
      </c>
      <c r="AC11" s="27">
        <f>내역서!AC145*D11</f>
        <v>0</v>
      </c>
      <c r="AD11" s="27">
        <f>내역서!AD145*D11</f>
        <v>0</v>
      </c>
      <c r="AE11" s="27">
        <f>내역서!AE145*D11</f>
        <v>0</v>
      </c>
      <c r="AF11" s="27">
        <f>내역서!AF145*D11</f>
        <v>0</v>
      </c>
      <c r="AG11" s="27">
        <f>내역서!AG145*D11</f>
        <v>0</v>
      </c>
      <c r="AH11" s="27">
        <f>내역서!AH145*D11</f>
        <v>0</v>
      </c>
      <c r="AI11" s="27">
        <f>내역서!AI145*D11</f>
        <v>0</v>
      </c>
      <c r="AJ11" s="27">
        <f>내역서!AJ145*D11</f>
        <v>0</v>
      </c>
      <c r="AK11" s="27">
        <f>내역서!AK145*D11</f>
        <v>0</v>
      </c>
      <c r="AL11" s="27">
        <f>내역서!AL145*D11</f>
        <v>0</v>
      </c>
    </row>
    <row r="12" spans="1:38" ht="20.100000000000001" customHeight="1">
      <c r="A12" s="88" t="s">
        <v>845</v>
      </c>
      <c r="B12" s="88" t="s">
        <v>19</v>
      </c>
      <c r="C12" s="39" t="s">
        <v>459</v>
      </c>
      <c r="D12" s="111">
        <v>1</v>
      </c>
      <c r="E12" s="37">
        <f>내역서!F165</f>
        <v>0</v>
      </c>
      <c r="F12" s="37">
        <f t="shared" si="0"/>
        <v>0</v>
      </c>
      <c r="G12" s="37">
        <f>내역서!H165</f>
        <v>0</v>
      </c>
      <c r="H12" s="37">
        <f t="shared" si="1"/>
        <v>0</v>
      </c>
      <c r="I12" s="37">
        <f>내역서!J165</f>
        <v>0</v>
      </c>
      <c r="J12" s="37">
        <f t="shared" si="2"/>
        <v>0</v>
      </c>
      <c r="K12" s="37">
        <f t="shared" si="3"/>
        <v>0</v>
      </c>
      <c r="L12" s="37">
        <f t="shared" si="4"/>
        <v>0</v>
      </c>
      <c r="M12" s="71" t="s">
        <v>19</v>
      </c>
      <c r="Q12" s="27">
        <v>1</v>
      </c>
      <c r="R12" s="27">
        <f>내역서!R165*D12</f>
        <v>0</v>
      </c>
      <c r="S12" s="27">
        <f>내역서!S165*D12</f>
        <v>0</v>
      </c>
      <c r="T12" s="27">
        <f>내역서!T165*D12</f>
        <v>0</v>
      </c>
      <c r="U12" s="27">
        <f>내역서!U165*D12</f>
        <v>0</v>
      </c>
      <c r="V12" s="27">
        <f>내역서!V165*D12</f>
        <v>0</v>
      </c>
      <c r="W12" s="27">
        <f>내역서!W165*D12</f>
        <v>0</v>
      </c>
      <c r="X12" s="27">
        <f>내역서!X165*D12</f>
        <v>0</v>
      </c>
      <c r="Y12" s="27">
        <f>내역서!Y165*D12</f>
        <v>0</v>
      </c>
      <c r="Z12" s="27">
        <f>내역서!Z165*D12</f>
        <v>0</v>
      </c>
      <c r="AA12" s="27">
        <f>내역서!AA165*D12</f>
        <v>0</v>
      </c>
      <c r="AB12" s="27">
        <f>내역서!AB165*D12</f>
        <v>0</v>
      </c>
      <c r="AC12" s="27">
        <f>내역서!AC165*D12</f>
        <v>0</v>
      </c>
      <c r="AD12" s="27">
        <f>내역서!AD165*D12</f>
        <v>0</v>
      </c>
      <c r="AE12" s="27">
        <f>내역서!AE165*D12</f>
        <v>0</v>
      </c>
      <c r="AF12" s="27">
        <f>내역서!AF165*D12</f>
        <v>0</v>
      </c>
      <c r="AG12" s="27">
        <f>내역서!AG165*D12</f>
        <v>0</v>
      </c>
      <c r="AH12" s="27">
        <f>내역서!AH165*D12</f>
        <v>0</v>
      </c>
      <c r="AI12" s="27">
        <f>내역서!AI165*D12</f>
        <v>0</v>
      </c>
      <c r="AJ12" s="27">
        <f>내역서!AJ165*D12</f>
        <v>0</v>
      </c>
      <c r="AK12" s="27">
        <f>내역서!AK165*D12</f>
        <v>0</v>
      </c>
      <c r="AL12" s="27">
        <f>내역서!AL165*D12</f>
        <v>0</v>
      </c>
    </row>
    <row r="13" spans="1:38" ht="20.100000000000001" customHeight="1">
      <c r="A13" s="88" t="s">
        <v>846</v>
      </c>
      <c r="B13" s="88" t="s">
        <v>19</v>
      </c>
      <c r="C13" s="39" t="s">
        <v>459</v>
      </c>
      <c r="D13" s="111">
        <v>1</v>
      </c>
      <c r="E13" s="37">
        <f>내역서!F185</f>
        <v>0</v>
      </c>
      <c r="F13" s="37">
        <f t="shared" si="0"/>
        <v>0</v>
      </c>
      <c r="G13" s="37">
        <f>내역서!H185</f>
        <v>0</v>
      </c>
      <c r="H13" s="37">
        <f t="shared" si="1"/>
        <v>0</v>
      </c>
      <c r="I13" s="37">
        <f>내역서!J185</f>
        <v>0</v>
      </c>
      <c r="J13" s="37">
        <f t="shared" si="2"/>
        <v>0</v>
      </c>
      <c r="K13" s="37">
        <f t="shared" si="3"/>
        <v>0</v>
      </c>
      <c r="L13" s="37">
        <f t="shared" si="4"/>
        <v>0</v>
      </c>
      <c r="M13" s="71" t="s">
        <v>19</v>
      </c>
      <c r="Q13" s="27">
        <v>1</v>
      </c>
      <c r="R13" s="27">
        <f>내역서!R185*D13</f>
        <v>0</v>
      </c>
      <c r="S13" s="27">
        <f>내역서!S185*D13</f>
        <v>0</v>
      </c>
      <c r="T13" s="27">
        <f>내역서!T185*D13</f>
        <v>0</v>
      </c>
      <c r="U13" s="27">
        <f>내역서!U185*D13</f>
        <v>0</v>
      </c>
      <c r="V13" s="27">
        <f>내역서!V185*D13</f>
        <v>0</v>
      </c>
      <c r="W13" s="27">
        <f>내역서!W185*D13</f>
        <v>0</v>
      </c>
      <c r="X13" s="27">
        <f>내역서!X185*D13</f>
        <v>0</v>
      </c>
      <c r="Y13" s="27">
        <f>내역서!Y185*D13</f>
        <v>0</v>
      </c>
      <c r="Z13" s="27">
        <f>내역서!Z185*D13</f>
        <v>0</v>
      </c>
      <c r="AA13" s="27">
        <f>내역서!AA185*D13</f>
        <v>0</v>
      </c>
      <c r="AB13" s="27">
        <f>내역서!AB185*D13</f>
        <v>0</v>
      </c>
      <c r="AC13" s="27">
        <f>내역서!AC185*D13</f>
        <v>0</v>
      </c>
      <c r="AD13" s="27">
        <f>내역서!AD185*D13</f>
        <v>0</v>
      </c>
      <c r="AE13" s="27">
        <f>내역서!AE185*D13</f>
        <v>0</v>
      </c>
      <c r="AF13" s="27">
        <f>내역서!AF185*D13</f>
        <v>0</v>
      </c>
      <c r="AG13" s="27">
        <f>내역서!AG185*D13</f>
        <v>0</v>
      </c>
      <c r="AH13" s="27">
        <f>내역서!AH185*D13</f>
        <v>0</v>
      </c>
      <c r="AI13" s="27">
        <f>내역서!AI185*D13</f>
        <v>0</v>
      </c>
      <c r="AJ13" s="27">
        <f>내역서!AJ185*D13</f>
        <v>0</v>
      </c>
      <c r="AK13" s="27">
        <f>내역서!AK185*D13</f>
        <v>0</v>
      </c>
      <c r="AL13" s="27">
        <f>내역서!AL185*D13</f>
        <v>0</v>
      </c>
    </row>
    <row r="14" spans="1:38" ht="20.100000000000001" customHeight="1">
      <c r="A14" s="88" t="s">
        <v>393</v>
      </c>
      <c r="B14" s="88" t="s">
        <v>19</v>
      </c>
      <c r="C14" s="39" t="s">
        <v>459</v>
      </c>
      <c r="D14" s="111">
        <v>1</v>
      </c>
      <c r="E14" s="37">
        <f>내역서!F225</f>
        <v>0</v>
      </c>
      <c r="F14" s="37">
        <f t="shared" si="0"/>
        <v>0</v>
      </c>
      <c r="G14" s="37">
        <f>내역서!H225</f>
        <v>0</v>
      </c>
      <c r="H14" s="37">
        <f t="shared" si="1"/>
        <v>0</v>
      </c>
      <c r="I14" s="37">
        <f>내역서!J225</f>
        <v>0</v>
      </c>
      <c r="J14" s="37">
        <f t="shared" si="2"/>
        <v>0</v>
      </c>
      <c r="K14" s="37">
        <f t="shared" si="3"/>
        <v>0</v>
      </c>
      <c r="L14" s="37">
        <f t="shared" si="4"/>
        <v>0</v>
      </c>
      <c r="M14" s="71" t="s">
        <v>19</v>
      </c>
      <c r="Q14" s="27">
        <v>1</v>
      </c>
      <c r="R14" s="27" t="e">
        <f>내역서!#REF!*D14</f>
        <v>#REF!</v>
      </c>
      <c r="S14" s="27" t="e">
        <f>내역서!#REF!*D14</f>
        <v>#REF!</v>
      </c>
      <c r="T14" s="27" t="e">
        <f>내역서!#REF!*D14</f>
        <v>#REF!</v>
      </c>
      <c r="U14" s="27" t="e">
        <f>내역서!#REF!*D14</f>
        <v>#REF!</v>
      </c>
      <c r="V14" s="27" t="e">
        <f>내역서!#REF!*D14</f>
        <v>#REF!</v>
      </c>
      <c r="W14" s="27" t="e">
        <f>내역서!#REF!*D14</f>
        <v>#REF!</v>
      </c>
      <c r="X14" s="27" t="e">
        <f>내역서!#REF!*D14</f>
        <v>#REF!</v>
      </c>
      <c r="Y14" s="27" t="e">
        <f>내역서!#REF!*D14</f>
        <v>#REF!</v>
      </c>
      <c r="Z14" s="27" t="e">
        <f>내역서!#REF!*D14</f>
        <v>#REF!</v>
      </c>
      <c r="AA14" s="27" t="e">
        <f>내역서!#REF!*D14</f>
        <v>#REF!</v>
      </c>
      <c r="AB14" s="27" t="e">
        <f>내역서!#REF!*D14</f>
        <v>#REF!</v>
      </c>
      <c r="AC14" s="27" t="e">
        <f>내역서!#REF!*D14</f>
        <v>#REF!</v>
      </c>
      <c r="AD14" s="27" t="e">
        <f>내역서!#REF!*D14</f>
        <v>#REF!</v>
      </c>
      <c r="AE14" s="27" t="e">
        <f>내역서!#REF!*D14</f>
        <v>#REF!</v>
      </c>
      <c r="AF14" s="27" t="e">
        <f>내역서!#REF!*D14</f>
        <v>#REF!</v>
      </c>
      <c r="AG14" s="27" t="e">
        <f>내역서!#REF!*D14</f>
        <v>#REF!</v>
      </c>
      <c r="AH14" s="27" t="e">
        <f>내역서!#REF!*D14</f>
        <v>#REF!</v>
      </c>
      <c r="AI14" s="27" t="e">
        <f>내역서!#REF!*D14</f>
        <v>#REF!</v>
      </c>
      <c r="AJ14" s="27" t="e">
        <f>내역서!#REF!*D14</f>
        <v>#REF!</v>
      </c>
      <c r="AK14" s="27" t="e">
        <f>내역서!#REF!*D14</f>
        <v>#REF!</v>
      </c>
      <c r="AL14" s="27" t="e">
        <f>내역서!#REF!*D14</f>
        <v>#REF!</v>
      </c>
    </row>
    <row r="15" spans="1:38" ht="20.100000000000001" customHeight="1">
      <c r="A15" s="88" t="s">
        <v>420</v>
      </c>
      <c r="B15" s="88" t="s">
        <v>19</v>
      </c>
      <c r="C15" s="39" t="s">
        <v>459</v>
      </c>
      <c r="D15" s="111">
        <v>1</v>
      </c>
      <c r="E15" s="37">
        <f>내역서!F245</f>
        <v>0</v>
      </c>
      <c r="F15" s="37">
        <f t="shared" si="0"/>
        <v>0</v>
      </c>
      <c r="G15" s="37">
        <f>내역서!H245</f>
        <v>0</v>
      </c>
      <c r="H15" s="37">
        <f t="shared" si="1"/>
        <v>0</v>
      </c>
      <c r="I15" s="37">
        <f>내역서!J245</f>
        <v>0</v>
      </c>
      <c r="J15" s="37">
        <f t="shared" si="2"/>
        <v>0</v>
      </c>
      <c r="K15" s="37">
        <f t="shared" si="3"/>
        <v>0</v>
      </c>
      <c r="L15" s="37">
        <f t="shared" si="4"/>
        <v>0</v>
      </c>
      <c r="M15" s="71" t="s">
        <v>19</v>
      </c>
      <c r="Q15" s="27">
        <v>1</v>
      </c>
      <c r="R15" s="27" t="e">
        <f>내역서!#REF!*D15</f>
        <v>#REF!</v>
      </c>
      <c r="S15" s="27" t="e">
        <f>내역서!#REF!*D15</f>
        <v>#REF!</v>
      </c>
      <c r="T15" s="27" t="e">
        <f>내역서!#REF!*D15</f>
        <v>#REF!</v>
      </c>
      <c r="U15" s="27" t="e">
        <f>내역서!#REF!*D15</f>
        <v>#REF!</v>
      </c>
      <c r="V15" s="27" t="e">
        <f>내역서!#REF!*D15</f>
        <v>#REF!</v>
      </c>
      <c r="W15" s="27" t="e">
        <f>내역서!#REF!*D15</f>
        <v>#REF!</v>
      </c>
      <c r="X15" s="27" t="e">
        <f>내역서!#REF!*D15</f>
        <v>#REF!</v>
      </c>
      <c r="Y15" s="27" t="e">
        <f>내역서!#REF!*D15</f>
        <v>#REF!</v>
      </c>
      <c r="Z15" s="27" t="e">
        <f>내역서!#REF!*D15</f>
        <v>#REF!</v>
      </c>
      <c r="AA15" s="27" t="e">
        <f>내역서!#REF!*D15</f>
        <v>#REF!</v>
      </c>
      <c r="AB15" s="27" t="e">
        <f>내역서!#REF!*D15</f>
        <v>#REF!</v>
      </c>
      <c r="AC15" s="27" t="e">
        <f>내역서!#REF!*D15</f>
        <v>#REF!</v>
      </c>
      <c r="AD15" s="27" t="e">
        <f>내역서!#REF!*D15</f>
        <v>#REF!</v>
      </c>
      <c r="AE15" s="27" t="e">
        <f>내역서!#REF!*D15</f>
        <v>#REF!</v>
      </c>
      <c r="AF15" s="27" t="e">
        <f>내역서!#REF!*D15</f>
        <v>#REF!</v>
      </c>
      <c r="AG15" s="27" t="e">
        <f>내역서!#REF!*D15</f>
        <v>#REF!</v>
      </c>
      <c r="AH15" s="27" t="e">
        <f>내역서!#REF!*D15</f>
        <v>#REF!</v>
      </c>
      <c r="AI15" s="27" t="e">
        <f>내역서!#REF!*D15</f>
        <v>#REF!</v>
      </c>
      <c r="AJ15" s="27" t="e">
        <f>내역서!#REF!*D15</f>
        <v>#REF!</v>
      </c>
      <c r="AK15" s="27" t="e">
        <f>내역서!#REF!*D15</f>
        <v>#REF!</v>
      </c>
      <c r="AL15" s="27" t="e">
        <f>내역서!#REF!*D15</f>
        <v>#REF!</v>
      </c>
    </row>
    <row r="16" spans="1:38" ht="20.100000000000001" customHeight="1">
      <c r="A16" s="88" t="s">
        <v>428</v>
      </c>
      <c r="B16" s="88" t="s">
        <v>19</v>
      </c>
      <c r="C16" s="39" t="s">
        <v>459</v>
      </c>
      <c r="D16" s="111">
        <v>1</v>
      </c>
      <c r="E16" s="37">
        <f>내역서!F265</f>
        <v>0</v>
      </c>
      <c r="F16" s="37">
        <f t="shared" si="0"/>
        <v>0</v>
      </c>
      <c r="G16" s="37">
        <f>내역서!H265</f>
        <v>0</v>
      </c>
      <c r="H16" s="37">
        <f t="shared" si="1"/>
        <v>0</v>
      </c>
      <c r="I16" s="37">
        <f>내역서!J265</f>
        <v>0</v>
      </c>
      <c r="J16" s="37">
        <f t="shared" si="2"/>
        <v>0</v>
      </c>
      <c r="K16" s="37">
        <f t="shared" si="3"/>
        <v>0</v>
      </c>
      <c r="L16" s="37">
        <f t="shared" si="4"/>
        <v>0</v>
      </c>
      <c r="M16" s="71" t="s">
        <v>19</v>
      </c>
      <c r="Q16" s="27">
        <v>1</v>
      </c>
      <c r="R16" s="27" t="e">
        <f>내역서!#REF!*D16</f>
        <v>#REF!</v>
      </c>
      <c r="S16" s="27" t="e">
        <f>내역서!#REF!*D16</f>
        <v>#REF!</v>
      </c>
      <c r="T16" s="27" t="e">
        <f>내역서!#REF!*D16</f>
        <v>#REF!</v>
      </c>
      <c r="U16" s="27" t="e">
        <f>내역서!#REF!*D16</f>
        <v>#REF!</v>
      </c>
      <c r="V16" s="27" t="e">
        <f>내역서!#REF!*D16</f>
        <v>#REF!</v>
      </c>
      <c r="W16" s="27" t="e">
        <f>내역서!#REF!*D16</f>
        <v>#REF!</v>
      </c>
      <c r="X16" s="27" t="e">
        <f>내역서!#REF!*D16</f>
        <v>#REF!</v>
      </c>
      <c r="Y16" s="27" t="e">
        <f>내역서!#REF!*D16</f>
        <v>#REF!</v>
      </c>
      <c r="Z16" s="27" t="e">
        <f>내역서!#REF!*D16</f>
        <v>#REF!</v>
      </c>
      <c r="AA16" s="27" t="e">
        <f>내역서!#REF!*D16</f>
        <v>#REF!</v>
      </c>
      <c r="AB16" s="27" t="e">
        <f>내역서!#REF!*D16</f>
        <v>#REF!</v>
      </c>
      <c r="AC16" s="27" t="e">
        <f>내역서!#REF!*D16</f>
        <v>#REF!</v>
      </c>
      <c r="AD16" s="27" t="e">
        <f>내역서!#REF!*D16</f>
        <v>#REF!</v>
      </c>
      <c r="AE16" s="27" t="e">
        <f>내역서!#REF!*D16</f>
        <v>#REF!</v>
      </c>
      <c r="AF16" s="27" t="e">
        <f>내역서!#REF!*D16</f>
        <v>#REF!</v>
      </c>
      <c r="AG16" s="27" t="e">
        <f>내역서!#REF!*D16</f>
        <v>#REF!</v>
      </c>
      <c r="AH16" s="27" t="e">
        <f>내역서!#REF!*D16</f>
        <v>#REF!</v>
      </c>
      <c r="AI16" s="27" t="e">
        <f>내역서!#REF!*D16</f>
        <v>#REF!</v>
      </c>
      <c r="AJ16" s="27" t="e">
        <f>내역서!#REF!*D16</f>
        <v>#REF!</v>
      </c>
      <c r="AK16" s="27" t="e">
        <f>내역서!#REF!*D16</f>
        <v>#REF!</v>
      </c>
      <c r="AL16" s="27" t="e">
        <f>내역서!#REF!*D16</f>
        <v>#REF!</v>
      </c>
    </row>
    <row r="17" spans="1:38" ht="20.100000000000001" customHeight="1">
      <c r="A17" s="88" t="s">
        <v>848</v>
      </c>
      <c r="B17" s="88" t="s">
        <v>19</v>
      </c>
      <c r="C17" s="39" t="s">
        <v>459</v>
      </c>
      <c r="D17" s="111">
        <v>1</v>
      </c>
      <c r="E17" s="37">
        <f>내역서!F285</f>
        <v>0</v>
      </c>
      <c r="F17" s="37">
        <f t="shared" si="0"/>
        <v>0</v>
      </c>
      <c r="G17" s="37">
        <f>내역서!H285</f>
        <v>0</v>
      </c>
      <c r="H17" s="37">
        <f t="shared" si="1"/>
        <v>0</v>
      </c>
      <c r="I17" s="37">
        <f>내역서!J285</f>
        <v>0</v>
      </c>
      <c r="J17" s="37">
        <f t="shared" si="2"/>
        <v>0</v>
      </c>
      <c r="K17" s="37">
        <f t="shared" si="3"/>
        <v>0</v>
      </c>
      <c r="L17" s="37">
        <f t="shared" si="4"/>
        <v>0</v>
      </c>
      <c r="M17" s="71"/>
      <c r="Q17" s="27">
        <v>0</v>
      </c>
      <c r="R17" s="27">
        <f>내역서!R285*D17</f>
        <v>0</v>
      </c>
      <c r="S17" s="27">
        <f>내역서!S285*D17</f>
        <v>0</v>
      </c>
      <c r="T17" s="27">
        <f>내역서!T285*D17</f>
        <v>0</v>
      </c>
      <c r="U17" s="27">
        <f>내역서!U285*D17</f>
        <v>0</v>
      </c>
      <c r="V17" s="27">
        <f>내역서!V285*D17</f>
        <v>0</v>
      </c>
      <c r="W17" s="27">
        <f>내역서!W285*D17</f>
        <v>0</v>
      </c>
      <c r="X17" s="27">
        <f>내역서!X285*D17</f>
        <v>0</v>
      </c>
      <c r="Y17" s="27">
        <f>내역서!Y285*D17</f>
        <v>0</v>
      </c>
      <c r="Z17" s="27">
        <f>내역서!Z285*D17</f>
        <v>0</v>
      </c>
      <c r="AA17" s="27">
        <f>내역서!AA285*D17</f>
        <v>0</v>
      </c>
      <c r="AB17" s="27">
        <f>내역서!AB285*D17</f>
        <v>0</v>
      </c>
      <c r="AC17" s="27">
        <f>내역서!AC285*D17</f>
        <v>0</v>
      </c>
      <c r="AD17" s="27">
        <f>내역서!AD285*D17</f>
        <v>0</v>
      </c>
      <c r="AE17" s="27">
        <f>내역서!AE285*D17</f>
        <v>0</v>
      </c>
      <c r="AF17" s="27">
        <f>내역서!AF285*D17</f>
        <v>0</v>
      </c>
      <c r="AG17" s="27">
        <f>내역서!AG285*D17</f>
        <v>0</v>
      </c>
      <c r="AH17" s="27">
        <f>내역서!AH285*D17</f>
        <v>0</v>
      </c>
      <c r="AI17" s="27">
        <f>내역서!AI285*D17</f>
        <v>0</v>
      </c>
      <c r="AJ17" s="27">
        <f>내역서!AJ285*D17</f>
        <v>0</v>
      </c>
      <c r="AK17" s="27">
        <f>내역서!AK285*D17</f>
        <v>0</v>
      </c>
      <c r="AL17" s="27">
        <f>내역서!AL285*D17</f>
        <v>0</v>
      </c>
    </row>
    <row r="18" spans="1:38" ht="20.100000000000001" customHeight="1">
      <c r="A18" s="34"/>
      <c r="B18" s="34"/>
      <c r="C18" s="35"/>
      <c r="D18" s="35"/>
      <c r="E18" s="37"/>
      <c r="F18" s="37"/>
      <c r="G18" s="37"/>
      <c r="H18" s="37"/>
      <c r="I18" s="37"/>
      <c r="J18" s="37"/>
      <c r="K18" s="37"/>
      <c r="L18" s="37"/>
      <c r="M18" s="70"/>
    </row>
    <row r="19" spans="1:38" ht="20.100000000000001" customHeight="1">
      <c r="A19" s="34"/>
      <c r="B19" s="34"/>
      <c r="C19" s="35"/>
      <c r="D19" s="35"/>
      <c r="E19" s="37"/>
      <c r="F19" s="37"/>
      <c r="G19" s="37"/>
      <c r="H19" s="37"/>
      <c r="I19" s="37"/>
      <c r="J19" s="37"/>
      <c r="K19" s="37"/>
      <c r="L19" s="37"/>
      <c r="M19" s="70"/>
    </row>
    <row r="20" spans="1:38" ht="20.100000000000001" customHeight="1">
      <c r="A20" s="34"/>
      <c r="B20" s="34"/>
      <c r="C20" s="35"/>
      <c r="D20" s="35"/>
      <c r="E20" s="37"/>
      <c r="F20" s="37"/>
      <c r="G20" s="37"/>
      <c r="H20" s="37"/>
      <c r="I20" s="37"/>
      <c r="J20" s="37"/>
      <c r="K20" s="37"/>
      <c r="L20" s="37"/>
      <c r="M20" s="70"/>
    </row>
    <row r="21" spans="1:38" ht="20.100000000000001" customHeight="1">
      <c r="A21" s="34"/>
      <c r="B21" s="34"/>
      <c r="C21" s="35"/>
      <c r="D21" s="35"/>
      <c r="E21" s="37"/>
      <c r="F21" s="37"/>
      <c r="G21" s="37"/>
      <c r="H21" s="37"/>
      <c r="I21" s="37"/>
      <c r="J21" s="37"/>
      <c r="K21" s="37"/>
      <c r="L21" s="37"/>
      <c r="M21" s="70"/>
    </row>
    <row r="22" spans="1:38" ht="20.100000000000001" customHeight="1">
      <c r="A22" s="34"/>
      <c r="B22" s="34"/>
      <c r="C22" s="35"/>
      <c r="D22" s="35"/>
      <c r="E22" s="37"/>
      <c r="F22" s="37"/>
      <c r="G22" s="37"/>
      <c r="H22" s="37"/>
      <c r="I22" s="37"/>
      <c r="J22" s="37"/>
      <c r="K22" s="37"/>
      <c r="L22" s="37"/>
      <c r="M22" s="70"/>
    </row>
    <row r="23" spans="1:38" ht="20.100000000000001" customHeight="1">
      <c r="A23" s="34"/>
      <c r="B23" s="34"/>
      <c r="C23" s="35"/>
      <c r="D23" s="35"/>
      <c r="E23" s="37"/>
      <c r="F23" s="37"/>
      <c r="G23" s="37"/>
      <c r="H23" s="37"/>
      <c r="I23" s="37"/>
      <c r="J23" s="37"/>
      <c r="K23" s="37"/>
      <c r="L23" s="37"/>
      <c r="M23" s="70"/>
    </row>
    <row r="24" spans="1:38" ht="20.100000000000001" customHeight="1">
      <c r="A24" s="124" t="s">
        <v>929</v>
      </c>
      <c r="B24" s="65"/>
      <c r="C24" s="66"/>
      <c r="D24" s="66"/>
      <c r="E24" s="68"/>
      <c r="F24" s="68">
        <f>SUM(F5:F16)</f>
        <v>0</v>
      </c>
      <c r="G24" s="68"/>
      <c r="H24" s="68">
        <f>SUM(H5:H16)</f>
        <v>0</v>
      </c>
      <c r="I24" s="68"/>
      <c r="J24" s="68">
        <f>SUM(J5:J16)</f>
        <v>0</v>
      </c>
      <c r="K24" s="68"/>
      <c r="L24" s="68">
        <f>F24+H24+J24</f>
        <v>0</v>
      </c>
      <c r="M24" s="69"/>
      <c r="R24" s="27" t="e">
        <f>SUM($R$5:$R$23)</f>
        <v>#REF!</v>
      </c>
      <c r="S24" s="27" t="e">
        <f>SUM($S$5:$S$23)</f>
        <v>#REF!</v>
      </c>
      <c r="T24" s="27" t="e">
        <f>SUM($T$5:$T$23)</f>
        <v>#REF!</v>
      </c>
      <c r="U24" s="27" t="e">
        <f>SUM($U$5:$U$23)</f>
        <v>#REF!</v>
      </c>
      <c r="V24" s="27" t="e">
        <f>SUM($V$5:$V$23)</f>
        <v>#REF!</v>
      </c>
      <c r="W24" s="27" t="e">
        <f>SUM($W$5:$W$23)</f>
        <v>#REF!</v>
      </c>
      <c r="X24" s="27" t="e">
        <f>SUM($X$5:$X$23)</f>
        <v>#REF!</v>
      </c>
      <c r="Y24" s="27" t="e">
        <f>SUM($Y$5:$Y$23)</f>
        <v>#REF!</v>
      </c>
      <c r="Z24" s="27" t="e">
        <f>SUM($Z$5:$Z$23)</f>
        <v>#REF!</v>
      </c>
      <c r="AA24" s="27" t="e">
        <f>SUM($AA$5:$AA$23)</f>
        <v>#REF!</v>
      </c>
      <c r="AB24" s="27" t="e">
        <f>SUM($AB$5:$AB$23)</f>
        <v>#REF!</v>
      </c>
      <c r="AC24" s="27" t="e">
        <f>SUM($AC$5:$AC$23)</f>
        <v>#REF!</v>
      </c>
      <c r="AD24" s="27" t="e">
        <f>SUM($AD$5:$AD$23)</f>
        <v>#REF!</v>
      </c>
      <c r="AE24" s="27" t="e">
        <f>SUM($AE$5:$AE$23)</f>
        <v>#REF!</v>
      </c>
      <c r="AF24" s="27" t="e">
        <f>SUM($AF$5:$AF$23)</f>
        <v>#REF!</v>
      </c>
      <c r="AG24" s="27" t="e">
        <f>SUM($AG$5:$AG$23)</f>
        <v>#REF!</v>
      </c>
      <c r="AH24" s="27" t="e">
        <f>SUM($AH$5:$AH$23)</f>
        <v>#REF!</v>
      </c>
      <c r="AI24" s="27" t="e">
        <f>SUM($AI$5:$AI$23)</f>
        <v>#REF!</v>
      </c>
      <c r="AJ24" s="27" t="e">
        <f>SUM($AJ$5:$AJ$23)</f>
        <v>#REF!</v>
      </c>
      <c r="AK24" s="27" t="e">
        <f>SUM($AK$5:$AK$23)</f>
        <v>#REF!</v>
      </c>
      <c r="AL24" s="27" t="e">
        <f>SUM($AL$5:$AL$23)</f>
        <v>#REF!</v>
      </c>
    </row>
    <row r="25" spans="1:38" ht="20.100000000000001" customHeight="1">
      <c r="A25" s="41"/>
      <c r="B25" s="41"/>
      <c r="C25" s="42"/>
      <c r="D25" s="42"/>
      <c r="E25" s="43"/>
      <c r="F25" s="43"/>
      <c r="G25" s="43"/>
      <c r="H25" s="43"/>
      <c r="I25" s="43"/>
      <c r="J25" s="43"/>
      <c r="K25" s="43"/>
      <c r="L25" s="43"/>
      <c r="M25" s="44"/>
    </row>
    <row r="26" spans="1:38" ht="20.100000000000001" customHeight="1">
      <c r="E26" s="33"/>
      <c r="F26" s="33"/>
      <c r="G26" s="33"/>
      <c r="H26" s="33"/>
      <c r="I26" s="33"/>
      <c r="J26" s="33"/>
      <c r="K26" s="33"/>
      <c r="L26" s="33"/>
    </row>
    <row r="27" spans="1:38" ht="20.100000000000001" customHeight="1">
      <c r="E27" s="33"/>
      <c r="F27" s="33"/>
      <c r="G27" s="33"/>
      <c r="H27" s="33"/>
      <c r="I27" s="33"/>
      <c r="J27" s="33"/>
      <c r="K27" s="33"/>
      <c r="L27" s="33"/>
    </row>
    <row r="28" spans="1:38" ht="20.100000000000001" customHeight="1">
      <c r="E28" s="33"/>
      <c r="F28" s="33"/>
      <c r="G28" s="33"/>
      <c r="H28" s="33"/>
      <c r="I28" s="33"/>
      <c r="J28" s="33"/>
      <c r="K28" s="33"/>
      <c r="L28" s="33"/>
    </row>
    <row r="29" spans="1:38" ht="20.100000000000001" customHeight="1">
      <c r="E29" s="33"/>
      <c r="F29" s="33"/>
      <c r="G29" s="33"/>
      <c r="H29" s="33"/>
      <c r="I29" s="33"/>
      <c r="J29" s="33"/>
      <c r="K29" s="33"/>
      <c r="L29" s="33"/>
    </row>
    <row r="30" spans="1:38" ht="20.100000000000001" customHeight="1">
      <c r="E30" s="33"/>
      <c r="F30" s="33"/>
      <c r="G30" s="33"/>
      <c r="H30" s="33"/>
      <c r="I30" s="33"/>
      <c r="J30" s="33"/>
      <c r="K30" s="33"/>
      <c r="L30" s="33"/>
    </row>
    <row r="31" spans="1:38" ht="20.100000000000001" customHeight="1">
      <c r="E31" s="33"/>
      <c r="F31" s="33"/>
      <c r="G31" s="33"/>
      <c r="H31" s="33"/>
      <c r="I31" s="33"/>
      <c r="J31" s="33"/>
      <c r="K31" s="33"/>
      <c r="L31" s="33"/>
    </row>
    <row r="32" spans="1:38" ht="20.100000000000001" customHeight="1">
      <c r="E32" s="33"/>
      <c r="F32" s="33"/>
      <c r="G32" s="33"/>
      <c r="H32" s="33"/>
      <c r="I32" s="33"/>
      <c r="J32" s="33"/>
      <c r="K32" s="33"/>
      <c r="L32" s="33"/>
    </row>
    <row r="33" spans="5:12" ht="20.100000000000001" customHeight="1">
      <c r="E33" s="33"/>
      <c r="F33" s="33"/>
      <c r="G33" s="33"/>
      <c r="H33" s="33"/>
      <c r="I33" s="33"/>
      <c r="J33" s="33"/>
      <c r="K33" s="33"/>
      <c r="L33" s="33"/>
    </row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3" type="noConversion"/>
  <pageMargins left="0.74803149606299213" right="0.19685039370078738" top="0.74803149606299213" bottom="0.55118110236220463" header="0.51181102362204722" footer="0.31496062992125989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B7"/>
  </sheetPr>
  <dimension ref="A1:AL286"/>
  <sheetViews>
    <sheetView view="pageBreakPreview" zoomScaleSheetLayoutView="100" workbookViewId="0">
      <pane ySplit="4" topLeftCell="A5" activePane="bottomLeft" state="frozen"/>
      <selection pane="bottomLeft" activeCell="G6" sqref="G6"/>
    </sheetView>
  </sheetViews>
  <sheetFormatPr defaultRowHeight="10.5"/>
  <cols>
    <col min="1" max="1" width="21.625" style="27" customWidth="1"/>
    <col min="2" max="2" width="18.625" style="27" customWidth="1"/>
    <col min="3" max="3" width="3.625" style="28" customWidth="1"/>
    <col min="4" max="4" width="6.625" style="29" customWidth="1"/>
    <col min="5" max="5" width="7.625" style="29" customWidth="1"/>
    <col min="6" max="6" width="8.625" style="29" customWidth="1"/>
    <col min="7" max="7" width="7.625" style="29" customWidth="1"/>
    <col min="8" max="8" width="8.625" style="29" customWidth="1"/>
    <col min="9" max="9" width="7.625" style="29" customWidth="1"/>
    <col min="10" max="10" width="8.625" style="29" customWidth="1"/>
    <col min="11" max="11" width="7.625" style="29" customWidth="1"/>
    <col min="12" max="12" width="8.625" style="29" customWidth="1"/>
    <col min="13" max="13" width="6.625" style="29" customWidth="1"/>
    <col min="14" max="38" width="9" style="27" hidden="1" customWidth="1"/>
    <col min="39" max="16384" width="9" style="27"/>
  </cols>
  <sheetData>
    <row r="1" spans="1:38" ht="26.1" customHeight="1">
      <c r="A1" s="158" t="s">
        <v>815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</row>
    <row r="2" spans="1:38" ht="20.100000000000001" customHeight="1">
      <c r="A2" s="157" t="s">
        <v>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</row>
    <row r="3" spans="1:38" ht="20.100000000000001" customHeight="1">
      <c r="A3" s="156" t="s">
        <v>816</v>
      </c>
      <c r="B3" s="156" t="s">
        <v>817</v>
      </c>
      <c r="C3" s="156" t="s">
        <v>4</v>
      </c>
      <c r="D3" s="156" t="s">
        <v>435</v>
      </c>
      <c r="E3" s="156" t="s">
        <v>510</v>
      </c>
      <c r="F3" s="156"/>
      <c r="G3" s="156" t="s">
        <v>511</v>
      </c>
      <c r="H3" s="156"/>
      <c r="I3" s="156" t="s">
        <v>512</v>
      </c>
      <c r="J3" s="156"/>
      <c r="K3" s="156" t="s">
        <v>513</v>
      </c>
      <c r="L3" s="156"/>
      <c r="M3" s="156" t="s">
        <v>388</v>
      </c>
    </row>
    <row r="4" spans="1:38" ht="20.100000000000001" customHeight="1">
      <c r="A4" s="156"/>
      <c r="B4" s="156"/>
      <c r="C4" s="156"/>
      <c r="D4" s="156"/>
      <c r="E4" s="87" t="s">
        <v>441</v>
      </c>
      <c r="F4" s="87" t="s">
        <v>442</v>
      </c>
      <c r="G4" s="87" t="s">
        <v>441</v>
      </c>
      <c r="H4" s="87" t="s">
        <v>442</v>
      </c>
      <c r="I4" s="87" t="s">
        <v>441</v>
      </c>
      <c r="J4" s="87" t="s">
        <v>442</v>
      </c>
      <c r="K4" s="87" t="s">
        <v>441</v>
      </c>
      <c r="L4" s="87" t="s">
        <v>442</v>
      </c>
      <c r="M4" s="156"/>
      <c r="N4" s="27" t="s">
        <v>443</v>
      </c>
      <c r="O4" s="27" t="s">
        <v>444</v>
      </c>
      <c r="P4" s="27" t="s">
        <v>445</v>
      </c>
      <c r="Q4" s="27" t="s">
        <v>446</v>
      </c>
      <c r="R4" s="27" t="s">
        <v>452</v>
      </c>
      <c r="S4" s="27" t="s">
        <v>818</v>
      </c>
      <c r="T4" s="27" t="s">
        <v>819</v>
      </c>
      <c r="U4" s="27" t="s">
        <v>820</v>
      </c>
      <c r="V4" s="27" t="s">
        <v>821</v>
      </c>
      <c r="W4" s="27" t="s">
        <v>822</v>
      </c>
      <c r="X4" s="27" t="s">
        <v>823</v>
      </c>
      <c r="Y4" s="27" t="s">
        <v>824</v>
      </c>
      <c r="Z4" s="27" t="s">
        <v>825</v>
      </c>
      <c r="AA4" s="27" t="s">
        <v>826</v>
      </c>
      <c r="AB4" s="27" t="s">
        <v>827</v>
      </c>
      <c r="AC4" s="27" t="s">
        <v>828</v>
      </c>
      <c r="AD4" s="27" t="s">
        <v>829</v>
      </c>
      <c r="AE4" s="27" t="s">
        <v>830</v>
      </c>
      <c r="AF4" s="27" t="s">
        <v>831</v>
      </c>
      <c r="AG4" s="27" t="s">
        <v>832</v>
      </c>
      <c r="AH4" s="27" t="s">
        <v>833</v>
      </c>
      <c r="AI4" s="27" t="s">
        <v>834</v>
      </c>
      <c r="AJ4" s="27" t="s">
        <v>835</v>
      </c>
      <c r="AK4" s="27" t="s">
        <v>836</v>
      </c>
      <c r="AL4" s="27" t="s">
        <v>837</v>
      </c>
    </row>
    <row r="5" spans="1:38" ht="20.100000000000001" customHeight="1">
      <c r="A5" s="64" t="s">
        <v>838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117"/>
    </row>
    <row r="6" spans="1:38" ht="20.100000000000001" customHeight="1">
      <c r="A6" s="34" t="s">
        <v>718</v>
      </c>
      <c r="B6" s="34" t="s">
        <v>515</v>
      </c>
      <c r="C6" s="35" t="s">
        <v>516</v>
      </c>
      <c r="D6" s="36">
        <v>10</v>
      </c>
      <c r="E6" s="37"/>
      <c r="F6" s="37">
        <f>ROUNDDOWN(D6*E6,0)</f>
        <v>0</v>
      </c>
      <c r="G6" s="37"/>
      <c r="H6" s="37">
        <f>ROUNDDOWN(D6*G6,0)</f>
        <v>0</v>
      </c>
      <c r="I6" s="37"/>
      <c r="J6" s="37">
        <f>ROUNDDOWN(D6*I6,0)</f>
        <v>0</v>
      </c>
      <c r="K6" s="37">
        <f t="shared" ref="K6:L6" si="0">E6+G6+I6</f>
        <v>0</v>
      </c>
      <c r="L6" s="37">
        <f t="shared" si="0"/>
        <v>0</v>
      </c>
      <c r="M6" s="93"/>
      <c r="P6" s="31" t="s">
        <v>452</v>
      </c>
      <c r="Q6" s="27">
        <v>1</v>
      </c>
      <c r="R6" s="27">
        <f>IF(P6="기계경비",J6,0)</f>
        <v>0</v>
      </c>
      <c r="S6" s="27">
        <f>IF(P6="운반비",J6,0)</f>
        <v>0</v>
      </c>
      <c r="T6" s="27">
        <f>IF(P6="작업부산물",F6,0)</f>
        <v>0</v>
      </c>
      <c r="U6" s="27">
        <f>IF(P6="관급",ROUNDDOWN(D6*E6,0),0)+IF(P6="지급",ROUNDDOWN(D6*E6,0),0)</f>
        <v>0</v>
      </c>
      <c r="V6" s="27">
        <f>IF(P6="외주비",F6+H6+J6,0)</f>
        <v>0</v>
      </c>
      <c r="W6" s="27">
        <f>IF(P6="장비비",F6+H6+J6,0)</f>
        <v>0</v>
      </c>
      <c r="X6" s="27">
        <f>IF(P6="폐기물처리비",J6,0)</f>
        <v>0</v>
      </c>
      <c r="Y6" s="27">
        <f>IF(P6="가설비",J6,0)</f>
        <v>0</v>
      </c>
      <c r="Z6" s="27">
        <f>IF(P6="잡비제외분",F6,0)</f>
        <v>0</v>
      </c>
      <c r="AA6" s="27">
        <f>IF(P6="사급자재대",L6,0)</f>
        <v>0</v>
      </c>
      <c r="AB6" s="27">
        <f>IF(P6="관급자재대",L6,0)</f>
        <v>0</v>
      </c>
      <c r="AC6" s="27">
        <f>IF(P6="사용자항목1",L6,0)</f>
        <v>0</v>
      </c>
      <c r="AD6" s="27">
        <f>IF(P6="사용자항목2",L6,0)</f>
        <v>0</v>
      </c>
      <c r="AE6" s="27">
        <f>IF(P6="사용자항목3",L6,0)</f>
        <v>0</v>
      </c>
      <c r="AF6" s="27">
        <f>IF(P6="사용자항목4",L6,0)</f>
        <v>0</v>
      </c>
      <c r="AG6" s="27">
        <f>IF(P6="사용자항목5",L6,0)</f>
        <v>0</v>
      </c>
      <c r="AH6" s="27">
        <f>IF(P6="사용자항목6",L6,0)</f>
        <v>0</v>
      </c>
      <c r="AI6" s="27">
        <f>IF(P6="사용자항목7",L6,0)</f>
        <v>0</v>
      </c>
      <c r="AJ6" s="27">
        <f>IF(P6="사용자항목8",L6,0)</f>
        <v>0</v>
      </c>
      <c r="AK6" s="27">
        <f>IF(P6="사용자항목9",L6,0)</f>
        <v>0</v>
      </c>
    </row>
    <row r="7" spans="1:38" ht="20.100000000000001" customHeight="1">
      <c r="A7" s="34" t="s">
        <v>942</v>
      </c>
      <c r="B7" s="34" t="s">
        <v>941</v>
      </c>
      <c r="C7" s="35" t="s">
        <v>26</v>
      </c>
      <c r="D7" s="36">
        <v>2590</v>
      </c>
      <c r="E7" s="37"/>
      <c r="F7" s="37">
        <f>ROUNDDOWN(D7*E7,0)</f>
        <v>0</v>
      </c>
      <c r="G7" s="37"/>
      <c r="H7" s="37">
        <f>ROUNDDOWN(D7*G7,0)</f>
        <v>0</v>
      </c>
      <c r="I7" s="37"/>
      <c r="J7" s="37">
        <f>ROUNDDOWN(D7*I7,0)</f>
        <v>0</v>
      </c>
      <c r="K7" s="37">
        <f t="shared" ref="K7" si="1">E7+G7+I7</f>
        <v>0</v>
      </c>
      <c r="L7" s="37">
        <f t="shared" ref="L7" si="2">F7+H7+J7</f>
        <v>0</v>
      </c>
      <c r="M7" s="93"/>
      <c r="P7" s="31" t="s">
        <v>452</v>
      </c>
      <c r="Q7" s="27">
        <v>1</v>
      </c>
      <c r="R7" s="27">
        <f>IF(P7="기계경비",J7,0)</f>
        <v>0</v>
      </c>
      <c r="S7" s="27">
        <f>IF(P7="운반비",J7,0)</f>
        <v>0</v>
      </c>
      <c r="T7" s="27">
        <f>IF(P7="작업부산물",F7,0)</f>
        <v>0</v>
      </c>
      <c r="U7" s="27">
        <f>IF(P7="관급",ROUNDDOWN(D7*E7,0),0)+IF(P7="지급",ROUNDDOWN(D7*E7,0),0)</f>
        <v>0</v>
      </c>
      <c r="V7" s="27">
        <f>IF(P7="외주비",F7+H7+J7,0)</f>
        <v>0</v>
      </c>
      <c r="W7" s="27">
        <f>IF(P7="장비비",F7+H7+J7,0)</f>
        <v>0</v>
      </c>
      <c r="X7" s="27">
        <f>IF(P7="폐기물처리비",J7,0)</f>
        <v>0</v>
      </c>
      <c r="Y7" s="27">
        <f>IF(P7="가설비",J7,0)</f>
        <v>0</v>
      </c>
      <c r="Z7" s="27">
        <f>IF(P7="잡비제외분",F7,0)</f>
        <v>0</v>
      </c>
      <c r="AA7" s="27">
        <f>IF(P7="사급자재대",L7,0)</f>
        <v>0</v>
      </c>
      <c r="AB7" s="27">
        <f>IF(P7="관급자재대",L7,0)</f>
        <v>0</v>
      </c>
      <c r="AC7" s="27">
        <f>IF(P7="사용자항목1",L7,0)</f>
        <v>0</v>
      </c>
      <c r="AD7" s="27">
        <f>IF(P7="사용자항목2",L7,0)</f>
        <v>0</v>
      </c>
      <c r="AE7" s="27">
        <f>IF(P7="사용자항목3",L7,0)</f>
        <v>0</v>
      </c>
      <c r="AF7" s="27">
        <f>IF(P7="사용자항목4",L7,0)</f>
        <v>0</v>
      </c>
      <c r="AG7" s="27">
        <f>IF(P7="사용자항목5",L7,0)</f>
        <v>0</v>
      </c>
      <c r="AH7" s="27">
        <f>IF(P7="사용자항목6",L7,0)</f>
        <v>0</v>
      </c>
      <c r="AI7" s="27">
        <f>IF(P7="사용자항목7",L7,0)</f>
        <v>0</v>
      </c>
      <c r="AJ7" s="27">
        <f>IF(P7="사용자항목8",L7,0)</f>
        <v>0</v>
      </c>
      <c r="AK7" s="27">
        <f>IF(P7="사용자항목9",L7,0)</f>
        <v>0</v>
      </c>
    </row>
    <row r="8" spans="1:38" ht="19.5" customHeight="1">
      <c r="A8" s="34" t="s">
        <v>972</v>
      </c>
      <c r="B8" s="34" t="s">
        <v>973</v>
      </c>
      <c r="C8" s="35" t="s">
        <v>26</v>
      </c>
      <c r="D8" s="36">
        <f>D129+D140+D148+D149+D150+D151+D152</f>
        <v>787</v>
      </c>
      <c r="E8" s="37"/>
      <c r="F8" s="37">
        <f>ROUNDDOWN(D8*E8,0)</f>
        <v>0</v>
      </c>
      <c r="G8" s="37"/>
      <c r="H8" s="37">
        <f>ROUNDDOWN(D8*G8,0)</f>
        <v>0</v>
      </c>
      <c r="I8" s="37"/>
      <c r="J8" s="37">
        <f>ROUNDDOWN(D8*I8,0)</f>
        <v>0</v>
      </c>
      <c r="K8" s="37">
        <f t="shared" ref="K8" si="3">E8+G8+I8</f>
        <v>0</v>
      </c>
      <c r="L8" s="37">
        <f t="shared" ref="L8" si="4">F8+H8+J8</f>
        <v>0</v>
      </c>
      <c r="M8" s="93"/>
      <c r="P8" s="31" t="s">
        <v>452</v>
      </c>
      <c r="Q8" s="27">
        <v>1</v>
      </c>
      <c r="R8" s="27">
        <f>IF(P8="기계경비",J8,0)</f>
        <v>0</v>
      </c>
      <c r="S8" s="27">
        <f>IF(P8="운반비",J8,0)</f>
        <v>0</v>
      </c>
      <c r="T8" s="27">
        <f>IF(P8="작업부산물",F8,0)</f>
        <v>0</v>
      </c>
      <c r="U8" s="27">
        <f>IF(P8="관급",ROUNDDOWN(D8*E8,0),0)+IF(P8="지급",ROUNDDOWN(D8*E8,0),0)</f>
        <v>0</v>
      </c>
      <c r="V8" s="27">
        <f>IF(P8="외주비",F8+H8+J8,0)</f>
        <v>0</v>
      </c>
      <c r="W8" s="27">
        <f>IF(P8="장비비",F8+H8+J8,0)</f>
        <v>0</v>
      </c>
      <c r="X8" s="27">
        <f>IF(P8="폐기물처리비",J8,0)</f>
        <v>0</v>
      </c>
      <c r="Y8" s="27">
        <f>IF(P8="가설비",J8,0)</f>
        <v>0</v>
      </c>
      <c r="Z8" s="27">
        <f>IF(P8="잡비제외분",F8,0)</f>
        <v>0</v>
      </c>
      <c r="AA8" s="27">
        <f>IF(P8="사급자재대",L8,0)</f>
        <v>0</v>
      </c>
      <c r="AB8" s="27">
        <f>IF(P8="관급자재대",L8,0)</f>
        <v>0</v>
      </c>
      <c r="AC8" s="27">
        <f>IF(P8="사용자항목1",L8,0)</f>
        <v>0</v>
      </c>
      <c r="AD8" s="27">
        <f>IF(P8="사용자항목2",L8,0)</f>
        <v>0</v>
      </c>
      <c r="AE8" s="27">
        <f>IF(P8="사용자항목3",L8,0)</f>
        <v>0</v>
      </c>
      <c r="AF8" s="27">
        <f>IF(P8="사용자항목4",L8,0)</f>
        <v>0</v>
      </c>
      <c r="AG8" s="27">
        <f>IF(P8="사용자항목5",L8,0)</f>
        <v>0</v>
      </c>
      <c r="AH8" s="27">
        <f>IF(P8="사용자항목6",L8,0)</f>
        <v>0</v>
      </c>
      <c r="AI8" s="27">
        <f>IF(P8="사용자항목7",L8,0)</f>
        <v>0</v>
      </c>
      <c r="AJ8" s="27">
        <f>IF(P8="사용자항목8",L8,0)</f>
        <v>0</v>
      </c>
      <c r="AK8" s="27">
        <f>IF(P8="사용자항목9",L8,0)</f>
        <v>0</v>
      </c>
    </row>
    <row r="9" spans="1:38" ht="20.100000000000001" customHeight="1">
      <c r="A9" s="34"/>
      <c r="B9" s="34"/>
      <c r="C9" s="35"/>
      <c r="D9" s="38"/>
      <c r="E9" s="38"/>
      <c r="F9" s="38"/>
      <c r="G9" s="38"/>
      <c r="H9" s="38"/>
      <c r="I9" s="38"/>
      <c r="J9" s="38"/>
      <c r="K9" s="38"/>
      <c r="L9" s="38"/>
      <c r="M9" s="38"/>
    </row>
    <row r="10" spans="1:38" ht="20.100000000000001" customHeight="1">
      <c r="A10" s="34"/>
      <c r="B10" s="34"/>
      <c r="C10" s="35"/>
      <c r="D10" s="36"/>
      <c r="E10" s="37"/>
      <c r="F10" s="37"/>
      <c r="G10" s="37"/>
      <c r="H10" s="37"/>
      <c r="I10" s="37"/>
      <c r="J10" s="37"/>
      <c r="K10" s="37"/>
      <c r="L10" s="37"/>
      <c r="M10" s="93"/>
      <c r="P10" s="31" t="s">
        <v>452</v>
      </c>
      <c r="Q10" s="27">
        <v>1</v>
      </c>
      <c r="R10" s="27">
        <f>IF(P10="기계경비",J10,0)</f>
        <v>0</v>
      </c>
      <c r="S10" s="27">
        <f>IF(P10="운반비",J10,0)</f>
        <v>0</v>
      </c>
      <c r="T10" s="27">
        <f>IF(P10="작업부산물",F10,0)</f>
        <v>0</v>
      </c>
      <c r="U10" s="27">
        <f>IF(P10="관급",ROUNDDOWN(D10*E10,0),0)+IF(P10="지급",ROUNDDOWN(D10*E10,0),0)</f>
        <v>0</v>
      </c>
      <c r="V10" s="27">
        <f>IF(P10="외주비",F10+H10+J10,0)</f>
        <v>0</v>
      </c>
      <c r="W10" s="27">
        <f>IF(P10="장비비",F10+H10+J10,0)</f>
        <v>0</v>
      </c>
      <c r="X10" s="27">
        <f>IF(P10="폐기물처리비",J10,0)</f>
        <v>0</v>
      </c>
      <c r="Y10" s="27">
        <f>IF(P10="가설비",J10,0)</f>
        <v>0</v>
      </c>
      <c r="Z10" s="27">
        <f>IF(P10="잡비제외분",F10,0)</f>
        <v>0</v>
      </c>
      <c r="AA10" s="27">
        <f>IF(P10="사급자재대",L10,0)</f>
        <v>0</v>
      </c>
      <c r="AB10" s="27">
        <f>IF(P10="관급자재대",L10,0)</f>
        <v>0</v>
      </c>
      <c r="AC10" s="27">
        <f>IF(P10="사용자항목1",L10,0)</f>
        <v>0</v>
      </c>
      <c r="AD10" s="27">
        <f>IF(P10="사용자항목2",L10,0)</f>
        <v>0</v>
      </c>
      <c r="AE10" s="27">
        <f>IF(P10="사용자항목3",L10,0)</f>
        <v>0</v>
      </c>
      <c r="AF10" s="27">
        <f>IF(P10="사용자항목4",L10,0)</f>
        <v>0</v>
      </c>
      <c r="AG10" s="27">
        <f>IF(P10="사용자항목5",L10,0)</f>
        <v>0</v>
      </c>
      <c r="AH10" s="27">
        <f>IF(P10="사용자항목6",L10,0)</f>
        <v>0</v>
      </c>
      <c r="AI10" s="27">
        <f>IF(P10="사용자항목7",L10,0)</f>
        <v>0</v>
      </c>
      <c r="AJ10" s="27">
        <f>IF(P10="사용자항목8",L10,0)</f>
        <v>0</v>
      </c>
      <c r="AK10" s="27">
        <f>IF(P10="사용자항목9",L10,0)</f>
        <v>0</v>
      </c>
    </row>
    <row r="11" spans="1:38" ht="20.100000000000001" customHeight="1">
      <c r="A11" s="34"/>
      <c r="B11" s="34"/>
      <c r="C11" s="35"/>
      <c r="D11" s="38"/>
      <c r="E11" s="38"/>
      <c r="F11" s="38"/>
      <c r="G11" s="38"/>
      <c r="H11" s="38"/>
      <c r="I11" s="38"/>
      <c r="J11" s="38"/>
      <c r="K11" s="38"/>
      <c r="L11" s="38"/>
      <c r="M11" s="38"/>
    </row>
    <row r="12" spans="1:38" ht="20.100000000000001" customHeight="1">
      <c r="A12" s="34"/>
      <c r="B12" s="34"/>
      <c r="C12" s="35"/>
      <c r="D12" s="38"/>
      <c r="E12" s="38"/>
      <c r="F12" s="38"/>
      <c r="G12" s="38"/>
      <c r="H12" s="38"/>
      <c r="I12" s="38"/>
      <c r="J12" s="38"/>
      <c r="K12" s="38"/>
      <c r="L12" s="38"/>
      <c r="M12" s="38"/>
    </row>
    <row r="13" spans="1:38" ht="20.100000000000001" customHeight="1">
      <c r="A13" s="34"/>
      <c r="B13" s="34"/>
      <c r="C13" s="35"/>
      <c r="D13" s="38"/>
      <c r="E13" s="38"/>
      <c r="F13" s="38"/>
      <c r="G13" s="38"/>
      <c r="H13" s="38"/>
      <c r="I13" s="38"/>
      <c r="J13" s="38"/>
      <c r="K13" s="38"/>
      <c r="L13" s="38"/>
      <c r="M13" s="38"/>
    </row>
    <row r="14" spans="1:38" ht="20.100000000000001" customHeight="1">
      <c r="A14" s="34"/>
      <c r="B14" s="34"/>
      <c r="C14" s="35"/>
      <c r="D14" s="38"/>
      <c r="E14" s="38"/>
      <c r="F14" s="38"/>
      <c r="G14" s="38"/>
      <c r="H14" s="38"/>
      <c r="I14" s="38"/>
      <c r="J14" s="38"/>
      <c r="K14" s="38"/>
      <c r="L14" s="38"/>
      <c r="M14" s="38"/>
    </row>
    <row r="15" spans="1:38" ht="20.100000000000001" customHeight="1">
      <c r="A15" s="34"/>
      <c r="B15" s="34"/>
      <c r="C15" s="35"/>
      <c r="D15" s="38"/>
      <c r="E15" s="38"/>
      <c r="F15" s="38"/>
      <c r="G15" s="38"/>
      <c r="H15" s="38"/>
      <c r="I15" s="38"/>
      <c r="J15" s="38"/>
      <c r="K15" s="38"/>
      <c r="L15" s="38"/>
      <c r="M15" s="38"/>
    </row>
    <row r="16" spans="1:38" ht="20.100000000000001" customHeight="1">
      <c r="A16" s="34"/>
      <c r="B16" s="34"/>
      <c r="C16" s="35"/>
      <c r="D16" s="38"/>
      <c r="E16" s="38"/>
      <c r="F16" s="38"/>
      <c r="G16" s="38"/>
      <c r="H16" s="38"/>
      <c r="I16" s="38"/>
      <c r="J16" s="38"/>
      <c r="K16" s="38"/>
      <c r="L16" s="38"/>
      <c r="M16" s="38"/>
    </row>
    <row r="17" spans="1:38" ht="20.100000000000001" customHeight="1">
      <c r="A17" s="34"/>
      <c r="B17" s="34"/>
      <c r="C17" s="35"/>
      <c r="D17" s="38"/>
      <c r="E17" s="38"/>
      <c r="F17" s="38"/>
      <c r="G17" s="38"/>
      <c r="H17" s="38"/>
      <c r="I17" s="38"/>
      <c r="J17" s="38"/>
      <c r="K17" s="38"/>
      <c r="L17" s="38"/>
      <c r="M17" s="38"/>
    </row>
    <row r="18" spans="1:38" ht="20.100000000000001" customHeight="1">
      <c r="A18" s="34"/>
      <c r="B18" s="34"/>
      <c r="C18" s="35"/>
      <c r="D18" s="38"/>
      <c r="E18" s="38"/>
      <c r="F18" s="38"/>
      <c r="G18" s="38"/>
      <c r="H18" s="38"/>
      <c r="I18" s="38"/>
      <c r="J18" s="38"/>
      <c r="K18" s="38"/>
      <c r="L18" s="38"/>
      <c r="M18" s="38"/>
    </row>
    <row r="19" spans="1:38" ht="20.100000000000001" customHeight="1">
      <c r="A19" s="34"/>
      <c r="B19" s="34"/>
      <c r="C19" s="35"/>
      <c r="D19" s="38"/>
      <c r="E19" s="38"/>
      <c r="F19" s="38"/>
      <c r="G19" s="38"/>
      <c r="H19" s="38"/>
      <c r="I19" s="38"/>
      <c r="J19" s="38"/>
      <c r="K19" s="38"/>
      <c r="L19" s="38"/>
      <c r="M19" s="38"/>
    </row>
    <row r="20" spans="1:38" ht="20.100000000000001" customHeight="1">
      <c r="A20" s="34"/>
      <c r="B20" s="34"/>
      <c r="C20" s="35"/>
      <c r="D20" s="38"/>
      <c r="E20" s="38"/>
      <c r="F20" s="38"/>
      <c r="G20" s="38"/>
      <c r="H20" s="38"/>
      <c r="I20" s="38"/>
      <c r="J20" s="38"/>
      <c r="K20" s="38"/>
      <c r="L20" s="38"/>
      <c r="M20" s="38"/>
    </row>
    <row r="21" spans="1:38" ht="20.100000000000001" customHeight="1">
      <c r="A21" s="34"/>
      <c r="B21" s="34"/>
      <c r="C21" s="35"/>
      <c r="D21" s="38"/>
      <c r="E21" s="38"/>
      <c r="F21" s="38"/>
      <c r="G21" s="38"/>
      <c r="H21" s="38"/>
      <c r="I21" s="38"/>
      <c r="J21" s="38"/>
      <c r="K21" s="38"/>
      <c r="L21" s="38"/>
      <c r="M21" s="38"/>
    </row>
    <row r="22" spans="1:38" ht="20.100000000000001" customHeight="1">
      <c r="A22" s="34"/>
      <c r="B22" s="34"/>
      <c r="C22" s="35"/>
      <c r="D22" s="38"/>
      <c r="E22" s="38"/>
      <c r="F22" s="38"/>
      <c r="G22" s="38"/>
      <c r="H22" s="38"/>
      <c r="I22" s="38"/>
      <c r="J22" s="38"/>
      <c r="K22" s="38"/>
      <c r="L22" s="38"/>
      <c r="M22" s="38"/>
    </row>
    <row r="23" spans="1:38" ht="20.100000000000001" customHeight="1">
      <c r="A23" s="34"/>
      <c r="B23" s="34"/>
      <c r="C23" s="35"/>
      <c r="D23" s="38"/>
      <c r="E23" s="38"/>
      <c r="F23" s="38"/>
      <c r="G23" s="38"/>
      <c r="H23" s="38"/>
      <c r="I23" s="38"/>
      <c r="J23" s="38"/>
      <c r="K23" s="38"/>
      <c r="L23" s="38"/>
      <c r="M23" s="38"/>
    </row>
    <row r="24" spans="1:38" ht="20.100000000000001" customHeight="1">
      <c r="A24" s="124" t="s">
        <v>930</v>
      </c>
      <c r="B24" s="65"/>
      <c r="C24" s="66"/>
      <c r="D24" s="67"/>
      <c r="E24" s="68"/>
      <c r="F24" s="68">
        <f>SUM(F6:F8)</f>
        <v>0</v>
      </c>
      <c r="G24" s="68"/>
      <c r="H24" s="68">
        <f>SUM(H6:H8)</f>
        <v>0</v>
      </c>
      <c r="I24" s="68"/>
      <c r="J24" s="68">
        <f>SUMIF($Q$5:$Q$23, 1,$J$5:$J$23)</f>
        <v>0</v>
      </c>
      <c r="K24" s="68"/>
      <c r="L24" s="68">
        <f>F24+H24+J24</f>
        <v>0</v>
      </c>
      <c r="M24" s="67"/>
      <c r="R24" s="27">
        <f>SUM($R$5:$R$23)</f>
        <v>0</v>
      </c>
      <c r="S24" s="27">
        <f>SUM($S$5:$S$23)</f>
        <v>0</v>
      </c>
      <c r="T24" s="27">
        <f>SUM($T$5:$T$23)</f>
        <v>0</v>
      </c>
      <c r="U24" s="27">
        <f>SUM($U$5:$U$23)</f>
        <v>0</v>
      </c>
      <c r="V24" s="27">
        <f>SUM($V$5:$V$23)</f>
        <v>0</v>
      </c>
      <c r="W24" s="27">
        <f>SUM($W$5:$W$23)</f>
        <v>0</v>
      </c>
      <c r="X24" s="27">
        <f>SUM($X$5:$X$23)</f>
        <v>0</v>
      </c>
      <c r="Y24" s="27">
        <f>SUM($Y$5:$Y$23)</f>
        <v>0</v>
      </c>
      <c r="Z24" s="27">
        <f>SUM($Z$5:$Z$23)</f>
        <v>0</v>
      </c>
      <c r="AA24" s="27">
        <f>SUM($AA$5:$AA$23)</f>
        <v>0</v>
      </c>
      <c r="AB24" s="27">
        <f>SUM($AB$5:$AB$23)</f>
        <v>0</v>
      </c>
      <c r="AC24" s="27">
        <f>SUM($AC$5:$AC$23)</f>
        <v>0</v>
      </c>
      <c r="AD24" s="27">
        <f>SUM($AD$5:$AD$23)</f>
        <v>0</v>
      </c>
      <c r="AE24" s="27">
        <f>SUM($AE$5:$AE$23)</f>
        <v>0</v>
      </c>
      <c r="AF24" s="27">
        <f>SUM($AF$5:$AF$23)</f>
        <v>0</v>
      </c>
      <c r="AG24" s="27">
        <f>SUM($AG$5:$AG$23)</f>
        <v>0</v>
      </c>
      <c r="AH24" s="27">
        <f>SUM($AH$5:$AH$23)</f>
        <v>0</v>
      </c>
      <c r="AI24" s="27">
        <f>SUM($AI$5:$AI$23)</f>
        <v>0</v>
      </c>
      <c r="AJ24" s="27">
        <f>SUM($AJ$5:$AJ$23)</f>
        <v>0</v>
      </c>
      <c r="AK24" s="27">
        <f>SUM($AK$5:$AK$23)</f>
        <v>0</v>
      </c>
      <c r="AL24" s="27">
        <f>SUM($AL$5:$AL$23)</f>
        <v>0</v>
      </c>
    </row>
    <row r="25" spans="1:38" ht="20.100000000000001" customHeight="1">
      <c r="A25" s="64" t="s">
        <v>839</v>
      </c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118"/>
    </row>
    <row r="26" spans="1:38" ht="20.100000000000001" customHeight="1">
      <c r="A26" s="103" t="s">
        <v>220</v>
      </c>
      <c r="B26" s="103"/>
      <c r="C26" s="104" t="s">
        <v>221</v>
      </c>
      <c r="D26" s="105">
        <v>3125</v>
      </c>
      <c r="E26" s="106"/>
      <c r="F26" s="106">
        <f>ROUNDDOWN(D26*E26,0)</f>
        <v>0</v>
      </c>
      <c r="G26" s="106"/>
      <c r="H26" s="106">
        <f>ROUNDDOWN(D26*G26,0)</f>
        <v>0</v>
      </c>
      <c r="I26" s="106"/>
      <c r="J26" s="106">
        <f>ROUNDDOWN(D26*I26,0)</f>
        <v>0</v>
      </c>
      <c r="K26" s="106">
        <f t="shared" ref="K26:L29" si="5">E26+G26+I26</f>
        <v>0</v>
      </c>
      <c r="L26" s="106">
        <f t="shared" si="5"/>
        <v>0</v>
      </c>
      <c r="M26" s="107"/>
      <c r="O26" s="31" t="s">
        <v>457</v>
      </c>
      <c r="P26" s="31" t="s">
        <v>452</v>
      </c>
      <c r="Q26" s="27">
        <v>1</v>
      </c>
      <c r="R26" s="27">
        <f>IF(P26="기계경비",J26,0)</f>
        <v>0</v>
      </c>
      <c r="S26" s="27">
        <f>IF(P26="운반비",J26,0)</f>
        <v>0</v>
      </c>
      <c r="T26" s="27">
        <f>IF(P26="작업부산물",F26,0)</f>
        <v>0</v>
      </c>
      <c r="U26" s="27">
        <f>IF(P26="관급",ROUNDDOWN(D26*E26,0),0)+IF(P26="지급",ROUNDDOWN(D26*E26,0),0)</f>
        <v>0</v>
      </c>
      <c r="V26" s="27">
        <f>IF(P26="외주비",F26+H26+J26,0)</f>
        <v>0</v>
      </c>
      <c r="W26" s="27">
        <f>IF(P26="장비비",F26+H26+J26,0)</f>
        <v>0</v>
      </c>
      <c r="X26" s="27">
        <f>IF(P26="폐기물처리비",J26,0)</f>
        <v>0</v>
      </c>
      <c r="Y26" s="27">
        <f>IF(P26="가설비",J26,0)</f>
        <v>0</v>
      </c>
      <c r="Z26" s="27">
        <f>IF(P26="잡비제외분",F26,0)</f>
        <v>0</v>
      </c>
      <c r="AA26" s="27">
        <f>IF(P26="사급자재대",L26,0)</f>
        <v>0</v>
      </c>
      <c r="AB26" s="27">
        <f>IF(P26="관급자재대",L26,0)</f>
        <v>0</v>
      </c>
      <c r="AC26" s="27">
        <f>IF(P26="사용자항목1",L26,0)</f>
        <v>0</v>
      </c>
      <c r="AD26" s="27">
        <f>IF(P26="사용자항목2",L26,0)</f>
        <v>0</v>
      </c>
      <c r="AE26" s="27">
        <f>IF(P26="사용자항목3",L26,0)</f>
        <v>0</v>
      </c>
      <c r="AF26" s="27">
        <f>IF(P26="사용자항목4",L26,0)</f>
        <v>0</v>
      </c>
      <c r="AG26" s="27">
        <f>IF(P26="사용자항목5",L26,0)</f>
        <v>0</v>
      </c>
      <c r="AH26" s="27">
        <f>IF(P26="사용자항목6",L26,0)</f>
        <v>0</v>
      </c>
      <c r="AI26" s="27">
        <f>IF(P26="사용자항목7",L26,0)</f>
        <v>0</v>
      </c>
      <c r="AJ26" s="27">
        <f>IF(P26="사용자항목8",L26,0)</f>
        <v>0</v>
      </c>
      <c r="AK26" s="27">
        <f>IF(P26="사용자항목9",L26,0)</f>
        <v>0</v>
      </c>
    </row>
    <row r="27" spans="1:38" ht="20.100000000000001" customHeight="1">
      <c r="A27" s="103" t="s">
        <v>724</v>
      </c>
      <c r="B27" s="103" t="s">
        <v>524</v>
      </c>
      <c r="C27" s="104" t="s">
        <v>221</v>
      </c>
      <c r="D27" s="105">
        <v>464</v>
      </c>
      <c r="E27" s="106"/>
      <c r="F27" s="106">
        <f>ROUNDDOWN(D27*E27,0)</f>
        <v>0</v>
      </c>
      <c r="G27" s="106"/>
      <c r="H27" s="106">
        <f>ROUNDDOWN(D27*G27,0)</f>
        <v>0</v>
      </c>
      <c r="I27" s="106"/>
      <c r="J27" s="106">
        <f>ROUNDDOWN(D27*I27,0)</f>
        <v>0</v>
      </c>
      <c r="K27" s="106">
        <f t="shared" si="5"/>
        <v>0</v>
      </c>
      <c r="L27" s="106">
        <f t="shared" si="5"/>
        <v>0</v>
      </c>
      <c r="M27" s="108"/>
      <c r="P27" s="31" t="s">
        <v>452</v>
      </c>
      <c r="Q27" s="27">
        <v>1</v>
      </c>
      <c r="R27" s="27">
        <f>IF(P27="기계경비",J27,0)</f>
        <v>0</v>
      </c>
      <c r="S27" s="27">
        <f>IF(P27="운반비",J27,0)</f>
        <v>0</v>
      </c>
      <c r="T27" s="27">
        <f>IF(P27="작업부산물",F27,0)</f>
        <v>0</v>
      </c>
      <c r="U27" s="27">
        <f>IF(P27="관급",ROUNDDOWN(D27*E27,0),0)+IF(P27="지급",ROUNDDOWN(D27*E27,0),0)</f>
        <v>0</v>
      </c>
      <c r="V27" s="27">
        <f>IF(P27="외주비",F27+H27+J27,0)</f>
        <v>0</v>
      </c>
      <c r="W27" s="27">
        <f>IF(P27="장비비",F27+H27+J27,0)</f>
        <v>0</v>
      </c>
      <c r="X27" s="27">
        <f>IF(P27="폐기물처리비",J27,0)</f>
        <v>0</v>
      </c>
      <c r="Y27" s="27">
        <f>IF(P27="가설비",J27,0)</f>
        <v>0</v>
      </c>
      <c r="Z27" s="27">
        <f>IF(P27="잡비제외분",F27,0)</f>
        <v>0</v>
      </c>
      <c r="AA27" s="27">
        <f>IF(P27="사급자재대",L27,0)</f>
        <v>0</v>
      </c>
      <c r="AB27" s="27">
        <f>IF(P27="관급자재대",L27,0)</f>
        <v>0</v>
      </c>
      <c r="AC27" s="27">
        <f>IF(P27="사용자항목1",L27,0)</f>
        <v>0</v>
      </c>
      <c r="AD27" s="27">
        <f>IF(P27="사용자항목2",L27,0)</f>
        <v>0</v>
      </c>
      <c r="AE27" s="27">
        <f>IF(P27="사용자항목3",L27,0)</f>
        <v>0</v>
      </c>
      <c r="AF27" s="27">
        <f>IF(P27="사용자항목4",L27,0)</f>
        <v>0</v>
      </c>
      <c r="AG27" s="27">
        <f>IF(P27="사용자항목5",L27,0)</f>
        <v>0</v>
      </c>
      <c r="AH27" s="27">
        <f>IF(P27="사용자항목6",L27,0)</f>
        <v>0</v>
      </c>
      <c r="AI27" s="27">
        <f>IF(P27="사용자항목7",L27,0)</f>
        <v>0</v>
      </c>
      <c r="AJ27" s="27">
        <f>IF(P27="사용자항목8",L27,0)</f>
        <v>0</v>
      </c>
      <c r="AK27" s="27">
        <f>IF(P27="사용자항목9",L27,0)</f>
        <v>0</v>
      </c>
    </row>
    <row r="28" spans="1:38" ht="20.100000000000001" customHeight="1">
      <c r="A28" s="103" t="s">
        <v>726</v>
      </c>
      <c r="B28" s="103" t="s">
        <v>524</v>
      </c>
      <c r="C28" s="104" t="s">
        <v>221</v>
      </c>
      <c r="D28" s="105">
        <v>2495</v>
      </c>
      <c r="E28" s="106"/>
      <c r="F28" s="106">
        <f>ROUNDDOWN(D28*E28,0)</f>
        <v>0</v>
      </c>
      <c r="G28" s="106"/>
      <c r="H28" s="106">
        <f>ROUNDDOWN(D28*G28,0)</f>
        <v>0</v>
      </c>
      <c r="I28" s="106"/>
      <c r="J28" s="106">
        <f>ROUNDDOWN(D28*I28,0)</f>
        <v>0</v>
      </c>
      <c r="K28" s="106">
        <f t="shared" si="5"/>
        <v>0</v>
      </c>
      <c r="L28" s="106">
        <f t="shared" si="5"/>
        <v>0</v>
      </c>
      <c r="M28" s="108"/>
      <c r="P28" s="31" t="s">
        <v>452</v>
      </c>
      <c r="Q28" s="27">
        <v>1</v>
      </c>
      <c r="R28" s="27">
        <f>IF(P28="기계경비",J28,0)</f>
        <v>0</v>
      </c>
      <c r="S28" s="27">
        <f>IF(P28="운반비",J28,0)</f>
        <v>0</v>
      </c>
      <c r="T28" s="27">
        <f>IF(P28="작업부산물",F28,0)</f>
        <v>0</v>
      </c>
      <c r="U28" s="27">
        <f>IF(P28="관급",ROUNDDOWN(D28*E28,0),0)+IF(P28="지급",ROUNDDOWN(D28*E28,0),0)</f>
        <v>0</v>
      </c>
      <c r="V28" s="27">
        <f>IF(P28="외주비",F28+H28+J28,0)</f>
        <v>0</v>
      </c>
      <c r="W28" s="27">
        <f>IF(P28="장비비",F28+H28+J28,0)</f>
        <v>0</v>
      </c>
      <c r="X28" s="27">
        <f>IF(P28="폐기물처리비",J28,0)</f>
        <v>0</v>
      </c>
      <c r="Y28" s="27">
        <f>IF(P28="가설비",J28,0)</f>
        <v>0</v>
      </c>
      <c r="Z28" s="27">
        <f>IF(P28="잡비제외분",F28,0)</f>
        <v>0</v>
      </c>
      <c r="AA28" s="27">
        <f>IF(P28="사급자재대",L28,0)</f>
        <v>0</v>
      </c>
      <c r="AB28" s="27">
        <f>IF(P28="관급자재대",L28,0)</f>
        <v>0</v>
      </c>
      <c r="AC28" s="27">
        <f>IF(P28="사용자항목1",L28,0)</f>
        <v>0</v>
      </c>
      <c r="AD28" s="27">
        <f>IF(P28="사용자항목2",L28,0)</f>
        <v>0</v>
      </c>
      <c r="AE28" s="27">
        <f>IF(P28="사용자항목3",L28,0)</f>
        <v>0</v>
      </c>
      <c r="AF28" s="27">
        <f>IF(P28="사용자항목4",L28,0)</f>
        <v>0</v>
      </c>
      <c r="AG28" s="27">
        <f>IF(P28="사용자항목5",L28,0)</f>
        <v>0</v>
      </c>
      <c r="AH28" s="27">
        <f>IF(P28="사용자항목6",L28,0)</f>
        <v>0</v>
      </c>
      <c r="AI28" s="27">
        <f>IF(P28="사용자항목7",L28,0)</f>
        <v>0</v>
      </c>
      <c r="AJ28" s="27">
        <f>IF(P28="사용자항목8",L28,0)</f>
        <v>0</v>
      </c>
      <c r="AK28" s="27">
        <f>IF(P28="사용자항목9",L28,0)</f>
        <v>0</v>
      </c>
    </row>
    <row r="29" spans="1:38" ht="20.100000000000001" customHeight="1">
      <c r="A29" s="103" t="s">
        <v>728</v>
      </c>
      <c r="B29" s="103" t="s">
        <v>533</v>
      </c>
      <c r="C29" s="104" t="s">
        <v>221</v>
      </c>
      <c r="D29" s="105">
        <v>2976</v>
      </c>
      <c r="E29" s="106"/>
      <c r="F29" s="106">
        <f>ROUNDDOWN(D29*E29,0)</f>
        <v>0</v>
      </c>
      <c r="G29" s="106"/>
      <c r="H29" s="106">
        <f>ROUNDDOWN(D29*G29,0)</f>
        <v>0</v>
      </c>
      <c r="I29" s="106"/>
      <c r="J29" s="106">
        <f>ROUNDDOWN(D29*I29,0)</f>
        <v>0</v>
      </c>
      <c r="K29" s="106">
        <f t="shared" si="5"/>
        <v>0</v>
      </c>
      <c r="L29" s="106">
        <f t="shared" si="5"/>
        <v>0</v>
      </c>
      <c r="M29" s="108"/>
      <c r="P29" s="31" t="s">
        <v>452</v>
      </c>
      <c r="Q29" s="27">
        <v>1</v>
      </c>
      <c r="R29" s="27">
        <f>IF(P29="기계경비",J29,0)</f>
        <v>0</v>
      </c>
      <c r="S29" s="27">
        <f>IF(P29="운반비",J29,0)</f>
        <v>0</v>
      </c>
      <c r="T29" s="27">
        <f>IF(P29="작업부산물",F29,0)</f>
        <v>0</v>
      </c>
      <c r="U29" s="27">
        <f>IF(P29="관급",ROUNDDOWN(D29*E29,0),0)+IF(P29="지급",ROUNDDOWN(D29*E29,0),0)</f>
        <v>0</v>
      </c>
      <c r="V29" s="27">
        <f>IF(P29="외주비",F29+H29+J29,0)</f>
        <v>0</v>
      </c>
      <c r="W29" s="27">
        <f>IF(P29="장비비",F29+H29+J29,0)</f>
        <v>0</v>
      </c>
      <c r="X29" s="27">
        <f>IF(P29="폐기물처리비",J29,0)</f>
        <v>0</v>
      </c>
      <c r="Y29" s="27">
        <f>IF(P29="가설비",J29,0)</f>
        <v>0</v>
      </c>
      <c r="Z29" s="27">
        <f>IF(P29="잡비제외분",F29,0)</f>
        <v>0</v>
      </c>
      <c r="AA29" s="27">
        <f>IF(P29="사급자재대",L29,0)</f>
        <v>0</v>
      </c>
      <c r="AB29" s="27">
        <f>IF(P29="관급자재대",L29,0)</f>
        <v>0</v>
      </c>
      <c r="AC29" s="27">
        <f>IF(P29="사용자항목1",L29,0)</f>
        <v>0</v>
      </c>
      <c r="AD29" s="27">
        <f>IF(P29="사용자항목2",L29,0)</f>
        <v>0</v>
      </c>
      <c r="AE29" s="27">
        <f>IF(P29="사용자항목3",L29,0)</f>
        <v>0</v>
      </c>
      <c r="AF29" s="27">
        <f>IF(P29="사용자항목4",L29,0)</f>
        <v>0</v>
      </c>
      <c r="AG29" s="27">
        <f>IF(P29="사용자항목5",L29,0)</f>
        <v>0</v>
      </c>
      <c r="AH29" s="27">
        <f>IF(P29="사용자항목6",L29,0)</f>
        <v>0</v>
      </c>
      <c r="AI29" s="27">
        <f>IF(P29="사용자항목7",L29,0)</f>
        <v>0</v>
      </c>
      <c r="AJ29" s="27">
        <f>IF(P29="사용자항목8",L29,0)</f>
        <v>0</v>
      </c>
      <c r="AK29" s="27">
        <f>IF(P29="사용자항목9",L29,0)</f>
        <v>0</v>
      </c>
    </row>
    <row r="30" spans="1:38" ht="20.100000000000001" customHeight="1">
      <c r="A30" s="103"/>
      <c r="B30" s="103"/>
      <c r="C30" s="104"/>
      <c r="D30" s="107"/>
      <c r="E30" s="107"/>
      <c r="F30" s="107"/>
      <c r="G30" s="107"/>
      <c r="H30" s="107"/>
      <c r="I30" s="107"/>
      <c r="J30" s="107"/>
      <c r="K30" s="107"/>
      <c r="L30" s="107"/>
      <c r="M30" s="107"/>
    </row>
    <row r="31" spans="1:38" ht="20.100000000000001" customHeight="1">
      <c r="A31" s="103"/>
      <c r="B31" s="103"/>
      <c r="C31" s="104"/>
      <c r="D31" s="107"/>
      <c r="E31" s="107"/>
      <c r="F31" s="107"/>
      <c r="G31" s="107"/>
      <c r="H31" s="107"/>
      <c r="I31" s="107"/>
      <c r="J31" s="107"/>
      <c r="K31" s="107"/>
      <c r="L31" s="107"/>
      <c r="M31" s="107"/>
    </row>
    <row r="32" spans="1:38" ht="20.100000000000001" customHeight="1">
      <c r="A32" s="103"/>
      <c r="B32" s="103"/>
      <c r="C32" s="104"/>
      <c r="D32" s="107"/>
      <c r="E32" s="107"/>
      <c r="F32" s="107"/>
      <c r="G32" s="107"/>
      <c r="H32" s="107"/>
      <c r="I32" s="107"/>
      <c r="J32" s="107"/>
      <c r="K32" s="107"/>
      <c r="L32" s="107"/>
      <c r="M32" s="107"/>
    </row>
    <row r="33" spans="1:38" ht="20.100000000000001" customHeight="1">
      <c r="A33" s="103"/>
      <c r="B33" s="103"/>
      <c r="C33" s="104"/>
      <c r="D33" s="107"/>
      <c r="E33" s="107"/>
      <c r="F33" s="107"/>
      <c r="G33" s="107"/>
      <c r="H33" s="107"/>
      <c r="I33" s="107"/>
      <c r="J33" s="107"/>
      <c r="K33" s="107"/>
      <c r="L33" s="107"/>
      <c r="M33" s="107"/>
    </row>
    <row r="34" spans="1:38" ht="20.100000000000001" customHeight="1">
      <c r="A34" s="103"/>
      <c r="B34" s="103"/>
      <c r="C34" s="104"/>
      <c r="D34" s="107"/>
      <c r="E34" s="107"/>
      <c r="F34" s="107"/>
      <c r="G34" s="107"/>
      <c r="H34" s="107"/>
      <c r="I34" s="107"/>
      <c r="J34" s="107"/>
      <c r="K34" s="107"/>
      <c r="L34" s="107"/>
      <c r="M34" s="107"/>
    </row>
    <row r="35" spans="1:38" ht="20.100000000000001" customHeight="1">
      <c r="A35" s="103"/>
      <c r="B35" s="103"/>
      <c r="C35" s="104"/>
      <c r="D35" s="107"/>
      <c r="E35" s="107"/>
      <c r="F35" s="107"/>
      <c r="G35" s="107"/>
      <c r="H35" s="107"/>
      <c r="I35" s="107"/>
      <c r="J35" s="107"/>
      <c r="K35" s="107"/>
      <c r="L35" s="107"/>
      <c r="M35" s="107"/>
    </row>
    <row r="36" spans="1:38" ht="20.100000000000001" customHeight="1">
      <c r="A36" s="103"/>
      <c r="B36" s="103"/>
      <c r="C36" s="104"/>
      <c r="D36" s="107"/>
      <c r="E36" s="107"/>
      <c r="F36" s="107"/>
      <c r="G36" s="107"/>
      <c r="H36" s="107"/>
      <c r="I36" s="107"/>
      <c r="J36" s="107"/>
      <c r="K36" s="107"/>
      <c r="L36" s="107"/>
      <c r="M36" s="107"/>
    </row>
    <row r="37" spans="1:38" ht="20.100000000000001" customHeight="1">
      <c r="A37" s="103"/>
      <c r="B37" s="103"/>
      <c r="C37" s="104"/>
      <c r="D37" s="107"/>
      <c r="E37" s="107"/>
      <c r="F37" s="107"/>
      <c r="G37" s="107"/>
      <c r="H37" s="107"/>
      <c r="I37" s="107"/>
      <c r="J37" s="107"/>
      <c r="K37" s="107"/>
      <c r="L37" s="107"/>
      <c r="M37" s="107"/>
    </row>
    <row r="38" spans="1:38" ht="20.100000000000001" customHeight="1">
      <c r="A38" s="103"/>
      <c r="B38" s="103"/>
      <c r="C38" s="104"/>
      <c r="D38" s="107"/>
      <c r="E38" s="107"/>
      <c r="F38" s="107"/>
      <c r="G38" s="107"/>
      <c r="H38" s="107"/>
      <c r="I38" s="107"/>
      <c r="J38" s="107"/>
      <c r="K38" s="107"/>
      <c r="L38" s="107"/>
      <c r="M38" s="107"/>
    </row>
    <row r="39" spans="1:38" ht="20.100000000000001" customHeight="1">
      <c r="A39" s="103"/>
      <c r="B39" s="103"/>
      <c r="C39" s="104"/>
      <c r="D39" s="107"/>
      <c r="E39" s="107"/>
      <c r="F39" s="107"/>
      <c r="G39" s="107"/>
      <c r="H39" s="107"/>
      <c r="I39" s="107"/>
      <c r="J39" s="107"/>
      <c r="K39" s="107"/>
      <c r="L39" s="107"/>
      <c r="M39" s="107"/>
    </row>
    <row r="40" spans="1:38" ht="20.100000000000001" customHeight="1">
      <c r="A40" s="103"/>
      <c r="B40" s="103"/>
      <c r="C40" s="104"/>
      <c r="D40" s="107"/>
      <c r="E40" s="107"/>
      <c r="F40" s="107"/>
      <c r="G40" s="107"/>
      <c r="H40" s="107"/>
      <c r="I40" s="107"/>
      <c r="J40" s="107"/>
      <c r="K40" s="107"/>
      <c r="L40" s="107"/>
      <c r="M40" s="107"/>
    </row>
    <row r="41" spans="1:38" ht="20.100000000000001" customHeight="1">
      <c r="A41" s="103"/>
      <c r="B41" s="103"/>
      <c r="C41" s="104"/>
      <c r="D41" s="107"/>
      <c r="E41" s="107"/>
      <c r="F41" s="107"/>
      <c r="G41" s="107"/>
      <c r="H41" s="107"/>
      <c r="I41" s="107"/>
      <c r="J41" s="107"/>
      <c r="K41" s="107"/>
      <c r="L41" s="107"/>
      <c r="M41" s="107"/>
    </row>
    <row r="42" spans="1:38" ht="20.100000000000001" customHeight="1">
      <c r="A42" s="103"/>
      <c r="B42" s="103"/>
      <c r="C42" s="104"/>
      <c r="D42" s="107"/>
      <c r="E42" s="107"/>
      <c r="F42" s="107"/>
      <c r="G42" s="107"/>
      <c r="H42" s="107"/>
      <c r="I42" s="107"/>
      <c r="J42" s="107"/>
      <c r="K42" s="107"/>
      <c r="L42" s="107"/>
      <c r="M42" s="107"/>
    </row>
    <row r="43" spans="1:38" ht="20.100000000000001" customHeight="1">
      <c r="A43" s="103"/>
      <c r="B43" s="103"/>
      <c r="C43" s="104"/>
      <c r="D43" s="107"/>
      <c r="E43" s="107"/>
      <c r="F43" s="107"/>
      <c r="G43" s="107"/>
      <c r="H43" s="107"/>
      <c r="I43" s="107"/>
      <c r="J43" s="107"/>
      <c r="K43" s="107"/>
      <c r="L43" s="107"/>
      <c r="M43" s="107"/>
    </row>
    <row r="44" spans="1:38" ht="20.100000000000001" customHeight="1">
      <c r="A44" s="124" t="s">
        <v>930</v>
      </c>
      <c r="B44" s="119"/>
      <c r="C44" s="120"/>
      <c r="D44" s="121"/>
      <c r="E44" s="122"/>
      <c r="F44" s="122">
        <f>SUMIF($Q$25:$Q$43, 1,$F$25:$F$43)</f>
        <v>0</v>
      </c>
      <c r="G44" s="122"/>
      <c r="H44" s="122">
        <f>SUMIF($Q$25:$Q$43, 1,$H$25:$H$43)</f>
        <v>0</v>
      </c>
      <c r="I44" s="122"/>
      <c r="J44" s="122">
        <f>SUMIF($Q$25:$Q$43, 1,$J$25:$J$43)</f>
        <v>0</v>
      </c>
      <c r="K44" s="122"/>
      <c r="L44" s="122">
        <f>F44+H44+J44</f>
        <v>0</v>
      </c>
      <c r="M44" s="121"/>
      <c r="R44" s="27">
        <f>SUM($R$25:$R$43)</f>
        <v>0</v>
      </c>
      <c r="S44" s="27">
        <f>SUM($S$25:$S$43)</f>
        <v>0</v>
      </c>
      <c r="T44" s="27">
        <f>SUM($T$25:$T$43)</f>
        <v>0</v>
      </c>
      <c r="U44" s="27">
        <f>SUM($U$25:$U$43)</f>
        <v>0</v>
      </c>
      <c r="V44" s="27">
        <f>SUM($V$25:$V$43)</f>
        <v>0</v>
      </c>
      <c r="W44" s="27">
        <f>SUM($W$25:$W$43)</f>
        <v>0</v>
      </c>
      <c r="X44" s="27">
        <f>SUM($X$25:$X$43)</f>
        <v>0</v>
      </c>
      <c r="Y44" s="27">
        <f>SUM($Y$25:$Y$43)</f>
        <v>0</v>
      </c>
      <c r="Z44" s="27">
        <f>SUM($Z$25:$Z$43)</f>
        <v>0</v>
      </c>
      <c r="AA44" s="27">
        <f>SUM($AA$25:$AA$43)</f>
        <v>0</v>
      </c>
      <c r="AB44" s="27">
        <f>SUM($AB$25:$AB$43)</f>
        <v>0</v>
      </c>
      <c r="AC44" s="27">
        <f>SUM($AC$25:$AC$43)</f>
        <v>0</v>
      </c>
      <c r="AD44" s="27">
        <f>SUM($AD$25:$AD$43)</f>
        <v>0</v>
      </c>
      <c r="AE44" s="27">
        <f>SUM($AE$25:$AE$43)</f>
        <v>0</v>
      </c>
      <c r="AF44" s="27">
        <f>SUM($AF$25:$AF$43)</f>
        <v>0</v>
      </c>
      <c r="AG44" s="27">
        <f>SUM($AG$25:$AG$43)</f>
        <v>0</v>
      </c>
      <c r="AH44" s="27">
        <f>SUM($AH$25:$AH$43)</f>
        <v>0</v>
      </c>
      <c r="AI44" s="27">
        <f>SUM($AI$25:$AI$43)</f>
        <v>0</v>
      </c>
      <c r="AJ44" s="27">
        <f>SUM($AJ$25:$AJ$43)</f>
        <v>0</v>
      </c>
      <c r="AK44" s="27">
        <f>SUM($AK$25:$AK$43)</f>
        <v>0</v>
      </c>
      <c r="AL44" s="27">
        <f>SUM($AL$25:$AL$43)</f>
        <v>0</v>
      </c>
    </row>
    <row r="45" spans="1:38" ht="20.100000000000001" customHeight="1">
      <c r="A45" s="64" t="s">
        <v>840</v>
      </c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118"/>
    </row>
    <row r="46" spans="1:38" ht="20.100000000000001" customHeight="1">
      <c r="A46" s="103" t="s">
        <v>730</v>
      </c>
      <c r="B46" s="103" t="s">
        <v>536</v>
      </c>
      <c r="C46" s="104" t="s">
        <v>26</v>
      </c>
      <c r="D46" s="105">
        <v>20</v>
      </c>
      <c r="E46" s="106"/>
      <c r="F46" s="106">
        <f t="shared" ref="F46:F51" si="6">ROUNDDOWN(D46*E46,0)</f>
        <v>0</v>
      </c>
      <c r="G46" s="106"/>
      <c r="H46" s="106">
        <f t="shared" ref="H46:H51" si="7">ROUNDDOWN(D46*G46,0)</f>
        <v>0</v>
      </c>
      <c r="I46" s="106"/>
      <c r="J46" s="106">
        <f t="shared" ref="J46:J51" si="8">ROUNDDOWN(D46*I46,0)</f>
        <v>0</v>
      </c>
      <c r="K46" s="106">
        <f t="shared" ref="K46:L51" si="9">E46+G46+I46</f>
        <v>0</v>
      </c>
      <c r="L46" s="106">
        <f t="shared" si="9"/>
        <v>0</v>
      </c>
      <c r="M46" s="108"/>
      <c r="P46" s="31" t="s">
        <v>452</v>
      </c>
      <c r="Q46" s="27">
        <v>1</v>
      </c>
      <c r="R46" s="27">
        <f t="shared" ref="R46:R51" si="10">IF(P46="기계경비",J46,0)</f>
        <v>0</v>
      </c>
      <c r="S46" s="27">
        <f t="shared" ref="S46:S51" si="11">IF(P46="운반비",J46,0)</f>
        <v>0</v>
      </c>
      <c r="T46" s="27">
        <f t="shared" ref="T46:T51" si="12">IF(P46="작업부산물",F46,0)</f>
        <v>0</v>
      </c>
      <c r="U46" s="27">
        <f t="shared" ref="U46:U51" si="13">IF(P46="관급",ROUNDDOWN(D46*E46,0),0)+IF(P46="지급",ROUNDDOWN(D46*E46,0),0)</f>
        <v>0</v>
      </c>
      <c r="V46" s="27">
        <f t="shared" ref="V46:V51" si="14">IF(P46="외주비",F46+H46+J46,0)</f>
        <v>0</v>
      </c>
      <c r="W46" s="27">
        <f t="shared" ref="W46:W51" si="15">IF(P46="장비비",F46+H46+J46,0)</f>
        <v>0</v>
      </c>
      <c r="X46" s="27">
        <f t="shared" ref="X46:X51" si="16">IF(P46="폐기물처리비",J46,0)</f>
        <v>0</v>
      </c>
      <c r="Y46" s="27">
        <f t="shared" ref="Y46:Y51" si="17">IF(P46="가설비",J46,0)</f>
        <v>0</v>
      </c>
      <c r="Z46" s="27">
        <f t="shared" ref="Z46:Z51" si="18">IF(P46="잡비제외분",F46,0)</f>
        <v>0</v>
      </c>
      <c r="AA46" s="27">
        <f t="shared" ref="AA46:AA51" si="19">IF(P46="사급자재대",L46,0)</f>
        <v>0</v>
      </c>
      <c r="AB46" s="27">
        <f t="shared" ref="AB46:AB51" si="20">IF(P46="관급자재대",L46,0)</f>
        <v>0</v>
      </c>
      <c r="AC46" s="27">
        <f t="shared" ref="AC46:AC51" si="21">IF(P46="사용자항목1",L46,0)</f>
        <v>0</v>
      </c>
      <c r="AD46" s="27">
        <f t="shared" ref="AD46:AD51" si="22">IF(P46="사용자항목2",L46,0)</f>
        <v>0</v>
      </c>
      <c r="AE46" s="27">
        <f t="shared" ref="AE46:AE51" si="23">IF(P46="사용자항목3",L46,0)</f>
        <v>0</v>
      </c>
      <c r="AF46" s="27">
        <f t="shared" ref="AF46:AF51" si="24">IF(P46="사용자항목4",L46,0)</f>
        <v>0</v>
      </c>
      <c r="AG46" s="27">
        <f t="shared" ref="AG46:AG51" si="25">IF(P46="사용자항목5",L46,0)</f>
        <v>0</v>
      </c>
      <c r="AH46" s="27">
        <f t="shared" ref="AH46:AH51" si="26">IF(P46="사용자항목6",L46,0)</f>
        <v>0</v>
      </c>
      <c r="AI46" s="27">
        <f t="shared" ref="AI46:AI51" si="27">IF(P46="사용자항목7",L46,0)</f>
        <v>0</v>
      </c>
      <c r="AJ46" s="27">
        <f t="shared" ref="AJ46:AJ51" si="28">IF(P46="사용자항목8",L46,0)</f>
        <v>0</v>
      </c>
      <c r="AK46" s="27">
        <f t="shared" ref="AK46:AK51" si="29">IF(P46="사용자항목9",L46,0)</f>
        <v>0</v>
      </c>
    </row>
    <row r="47" spans="1:38" ht="20.100000000000001" customHeight="1">
      <c r="A47" s="103" t="s">
        <v>733</v>
      </c>
      <c r="B47" s="103" t="s">
        <v>543</v>
      </c>
      <c r="C47" s="104" t="s">
        <v>26</v>
      </c>
      <c r="D47" s="105">
        <f>37+20</f>
        <v>57</v>
      </c>
      <c r="E47" s="106"/>
      <c r="F47" s="106">
        <f t="shared" si="6"/>
        <v>0</v>
      </c>
      <c r="G47" s="106"/>
      <c r="H47" s="106">
        <f t="shared" si="7"/>
        <v>0</v>
      </c>
      <c r="I47" s="106"/>
      <c r="J47" s="106">
        <f t="shared" si="8"/>
        <v>0</v>
      </c>
      <c r="K47" s="106">
        <f t="shared" si="9"/>
        <v>0</v>
      </c>
      <c r="L47" s="106">
        <f t="shared" si="9"/>
        <v>0</v>
      </c>
      <c r="M47" s="108"/>
      <c r="P47" s="31" t="s">
        <v>452</v>
      </c>
      <c r="Q47" s="27">
        <v>1</v>
      </c>
      <c r="R47" s="27">
        <f t="shared" si="10"/>
        <v>0</v>
      </c>
      <c r="S47" s="27">
        <f t="shared" si="11"/>
        <v>0</v>
      </c>
      <c r="T47" s="27">
        <f t="shared" si="12"/>
        <v>0</v>
      </c>
      <c r="U47" s="27">
        <f t="shared" si="13"/>
        <v>0</v>
      </c>
      <c r="V47" s="27">
        <f t="shared" si="14"/>
        <v>0</v>
      </c>
      <c r="W47" s="27">
        <f t="shared" si="15"/>
        <v>0</v>
      </c>
      <c r="X47" s="27">
        <f t="shared" si="16"/>
        <v>0</v>
      </c>
      <c r="Y47" s="27">
        <f t="shared" si="17"/>
        <v>0</v>
      </c>
      <c r="Z47" s="27">
        <f t="shared" si="18"/>
        <v>0</v>
      </c>
      <c r="AA47" s="27">
        <f t="shared" si="19"/>
        <v>0</v>
      </c>
      <c r="AB47" s="27">
        <f t="shared" si="20"/>
        <v>0</v>
      </c>
      <c r="AC47" s="27">
        <f t="shared" si="21"/>
        <v>0</v>
      </c>
      <c r="AD47" s="27">
        <f t="shared" si="22"/>
        <v>0</v>
      </c>
      <c r="AE47" s="27">
        <f t="shared" si="23"/>
        <v>0</v>
      </c>
      <c r="AF47" s="27">
        <f t="shared" si="24"/>
        <v>0</v>
      </c>
      <c r="AG47" s="27">
        <f t="shared" si="25"/>
        <v>0</v>
      </c>
      <c r="AH47" s="27">
        <f t="shared" si="26"/>
        <v>0</v>
      </c>
      <c r="AI47" s="27">
        <f t="shared" si="27"/>
        <v>0</v>
      </c>
      <c r="AJ47" s="27">
        <f t="shared" si="28"/>
        <v>0</v>
      </c>
      <c r="AK47" s="27">
        <f t="shared" si="29"/>
        <v>0</v>
      </c>
    </row>
    <row r="48" spans="1:38" ht="20.100000000000001" customHeight="1">
      <c r="A48" s="103" t="s">
        <v>735</v>
      </c>
      <c r="B48" s="103" t="s">
        <v>546</v>
      </c>
      <c r="C48" s="104" t="s">
        <v>26</v>
      </c>
      <c r="D48" s="105">
        <v>4</v>
      </c>
      <c r="E48" s="106"/>
      <c r="F48" s="106">
        <f t="shared" si="6"/>
        <v>0</v>
      </c>
      <c r="G48" s="106"/>
      <c r="H48" s="106">
        <f t="shared" si="7"/>
        <v>0</v>
      </c>
      <c r="I48" s="106"/>
      <c r="J48" s="106">
        <f t="shared" si="8"/>
        <v>0</v>
      </c>
      <c r="K48" s="106">
        <f t="shared" si="9"/>
        <v>0</v>
      </c>
      <c r="L48" s="106">
        <f t="shared" si="9"/>
        <v>0</v>
      </c>
      <c r="M48" s="108"/>
      <c r="P48" s="31" t="s">
        <v>452</v>
      </c>
      <c r="Q48" s="27">
        <v>1</v>
      </c>
      <c r="R48" s="27">
        <f t="shared" si="10"/>
        <v>0</v>
      </c>
      <c r="S48" s="27">
        <f t="shared" si="11"/>
        <v>0</v>
      </c>
      <c r="T48" s="27">
        <f t="shared" si="12"/>
        <v>0</v>
      </c>
      <c r="U48" s="27">
        <f t="shared" si="13"/>
        <v>0</v>
      </c>
      <c r="V48" s="27">
        <f t="shared" si="14"/>
        <v>0</v>
      </c>
      <c r="W48" s="27">
        <f t="shared" si="15"/>
        <v>0</v>
      </c>
      <c r="X48" s="27">
        <f t="shared" si="16"/>
        <v>0</v>
      </c>
      <c r="Y48" s="27">
        <f t="shared" si="17"/>
        <v>0</v>
      </c>
      <c r="Z48" s="27">
        <f t="shared" si="18"/>
        <v>0</v>
      </c>
      <c r="AA48" s="27">
        <f t="shared" si="19"/>
        <v>0</v>
      </c>
      <c r="AB48" s="27">
        <f t="shared" si="20"/>
        <v>0</v>
      </c>
      <c r="AC48" s="27">
        <f t="shared" si="21"/>
        <v>0</v>
      </c>
      <c r="AD48" s="27">
        <f t="shared" si="22"/>
        <v>0</v>
      </c>
      <c r="AE48" s="27">
        <f t="shared" si="23"/>
        <v>0</v>
      </c>
      <c r="AF48" s="27">
        <f t="shared" si="24"/>
        <v>0</v>
      </c>
      <c r="AG48" s="27">
        <f t="shared" si="25"/>
        <v>0</v>
      </c>
      <c r="AH48" s="27">
        <f t="shared" si="26"/>
        <v>0</v>
      </c>
      <c r="AI48" s="27">
        <f t="shared" si="27"/>
        <v>0</v>
      </c>
      <c r="AJ48" s="27">
        <f t="shared" si="28"/>
        <v>0</v>
      </c>
      <c r="AK48" s="27">
        <f t="shared" si="29"/>
        <v>0</v>
      </c>
    </row>
    <row r="49" spans="1:38" ht="20.100000000000001" customHeight="1">
      <c r="A49" s="103" t="s">
        <v>735</v>
      </c>
      <c r="B49" s="103" t="s">
        <v>553</v>
      </c>
      <c r="C49" s="104" t="s">
        <v>26</v>
      </c>
      <c r="D49" s="105">
        <v>12</v>
      </c>
      <c r="E49" s="106"/>
      <c r="F49" s="106">
        <f t="shared" si="6"/>
        <v>0</v>
      </c>
      <c r="G49" s="106"/>
      <c r="H49" s="106">
        <f t="shared" si="7"/>
        <v>0</v>
      </c>
      <c r="I49" s="106"/>
      <c r="J49" s="106">
        <f t="shared" si="8"/>
        <v>0</v>
      </c>
      <c r="K49" s="106">
        <f t="shared" si="9"/>
        <v>0</v>
      </c>
      <c r="L49" s="106">
        <f t="shared" si="9"/>
        <v>0</v>
      </c>
      <c r="M49" s="108"/>
      <c r="P49" s="31" t="s">
        <v>452</v>
      </c>
      <c r="Q49" s="27">
        <v>1</v>
      </c>
      <c r="R49" s="27">
        <f t="shared" si="10"/>
        <v>0</v>
      </c>
      <c r="S49" s="27">
        <f t="shared" si="11"/>
        <v>0</v>
      </c>
      <c r="T49" s="27">
        <f t="shared" si="12"/>
        <v>0</v>
      </c>
      <c r="U49" s="27">
        <f t="shared" si="13"/>
        <v>0</v>
      </c>
      <c r="V49" s="27">
        <f t="shared" si="14"/>
        <v>0</v>
      </c>
      <c r="W49" s="27">
        <f t="shared" si="15"/>
        <v>0</v>
      </c>
      <c r="X49" s="27">
        <f t="shared" si="16"/>
        <v>0</v>
      </c>
      <c r="Y49" s="27">
        <f t="shared" si="17"/>
        <v>0</v>
      </c>
      <c r="Z49" s="27">
        <f t="shared" si="18"/>
        <v>0</v>
      </c>
      <c r="AA49" s="27">
        <f t="shared" si="19"/>
        <v>0</v>
      </c>
      <c r="AB49" s="27">
        <f t="shared" si="20"/>
        <v>0</v>
      </c>
      <c r="AC49" s="27">
        <f t="shared" si="21"/>
        <v>0</v>
      </c>
      <c r="AD49" s="27">
        <f t="shared" si="22"/>
        <v>0</v>
      </c>
      <c r="AE49" s="27">
        <f t="shared" si="23"/>
        <v>0</v>
      </c>
      <c r="AF49" s="27">
        <f t="shared" si="24"/>
        <v>0</v>
      </c>
      <c r="AG49" s="27">
        <f t="shared" si="25"/>
        <v>0</v>
      </c>
      <c r="AH49" s="27">
        <f t="shared" si="26"/>
        <v>0</v>
      </c>
      <c r="AI49" s="27">
        <f t="shared" si="27"/>
        <v>0</v>
      </c>
      <c r="AJ49" s="27">
        <f t="shared" si="28"/>
        <v>0</v>
      </c>
      <c r="AK49" s="27">
        <f t="shared" si="29"/>
        <v>0</v>
      </c>
    </row>
    <row r="50" spans="1:38" ht="20.100000000000001" customHeight="1">
      <c r="A50" s="103" t="s">
        <v>738</v>
      </c>
      <c r="B50" s="103" t="s">
        <v>555</v>
      </c>
      <c r="C50" s="104" t="s">
        <v>26</v>
      </c>
      <c r="D50" s="105">
        <v>30</v>
      </c>
      <c r="E50" s="106"/>
      <c r="F50" s="106">
        <f t="shared" si="6"/>
        <v>0</v>
      </c>
      <c r="G50" s="106"/>
      <c r="H50" s="106">
        <f t="shared" si="7"/>
        <v>0</v>
      </c>
      <c r="I50" s="106"/>
      <c r="J50" s="106">
        <f t="shared" si="8"/>
        <v>0</v>
      </c>
      <c r="K50" s="106">
        <f t="shared" si="9"/>
        <v>0</v>
      </c>
      <c r="L50" s="106">
        <f t="shared" si="9"/>
        <v>0</v>
      </c>
      <c r="M50" s="108"/>
      <c r="P50" s="31" t="s">
        <v>452</v>
      </c>
      <c r="Q50" s="27">
        <v>1</v>
      </c>
      <c r="R50" s="27">
        <f t="shared" si="10"/>
        <v>0</v>
      </c>
      <c r="S50" s="27">
        <f t="shared" si="11"/>
        <v>0</v>
      </c>
      <c r="T50" s="27">
        <f t="shared" si="12"/>
        <v>0</v>
      </c>
      <c r="U50" s="27">
        <f t="shared" si="13"/>
        <v>0</v>
      </c>
      <c r="V50" s="27">
        <f t="shared" si="14"/>
        <v>0</v>
      </c>
      <c r="W50" s="27">
        <f t="shared" si="15"/>
        <v>0</v>
      </c>
      <c r="X50" s="27">
        <f t="shared" si="16"/>
        <v>0</v>
      </c>
      <c r="Y50" s="27">
        <f t="shared" si="17"/>
        <v>0</v>
      </c>
      <c r="Z50" s="27">
        <f t="shared" si="18"/>
        <v>0</v>
      </c>
      <c r="AA50" s="27">
        <f t="shared" si="19"/>
        <v>0</v>
      </c>
      <c r="AB50" s="27">
        <f t="shared" si="20"/>
        <v>0</v>
      </c>
      <c r="AC50" s="27">
        <f t="shared" si="21"/>
        <v>0</v>
      </c>
      <c r="AD50" s="27">
        <f t="shared" si="22"/>
        <v>0</v>
      </c>
      <c r="AE50" s="27">
        <f t="shared" si="23"/>
        <v>0</v>
      </c>
      <c r="AF50" s="27">
        <f t="shared" si="24"/>
        <v>0</v>
      </c>
      <c r="AG50" s="27">
        <f t="shared" si="25"/>
        <v>0</v>
      </c>
      <c r="AH50" s="27">
        <f t="shared" si="26"/>
        <v>0</v>
      </c>
      <c r="AI50" s="27">
        <f t="shared" si="27"/>
        <v>0</v>
      </c>
      <c r="AJ50" s="27">
        <f t="shared" si="28"/>
        <v>0</v>
      </c>
      <c r="AK50" s="27">
        <f t="shared" si="29"/>
        <v>0</v>
      </c>
    </row>
    <row r="51" spans="1:38" ht="20.100000000000001" customHeight="1">
      <c r="A51" s="103" t="s">
        <v>740</v>
      </c>
      <c r="B51" s="103" t="s">
        <v>568</v>
      </c>
      <c r="C51" s="104" t="s">
        <v>34</v>
      </c>
      <c r="D51" s="105">
        <v>20</v>
      </c>
      <c r="E51" s="106"/>
      <c r="F51" s="106">
        <f t="shared" si="6"/>
        <v>0</v>
      </c>
      <c r="G51" s="106"/>
      <c r="H51" s="106">
        <f t="shared" si="7"/>
        <v>0</v>
      </c>
      <c r="I51" s="106"/>
      <c r="J51" s="106">
        <f t="shared" si="8"/>
        <v>0</v>
      </c>
      <c r="K51" s="106">
        <f t="shared" si="9"/>
        <v>0</v>
      </c>
      <c r="L51" s="106">
        <f t="shared" si="9"/>
        <v>0</v>
      </c>
      <c r="M51" s="108"/>
      <c r="P51" s="31" t="s">
        <v>452</v>
      </c>
      <c r="Q51" s="27">
        <v>1</v>
      </c>
      <c r="R51" s="27">
        <f t="shared" si="10"/>
        <v>0</v>
      </c>
      <c r="S51" s="27">
        <f t="shared" si="11"/>
        <v>0</v>
      </c>
      <c r="T51" s="27">
        <f t="shared" si="12"/>
        <v>0</v>
      </c>
      <c r="U51" s="27">
        <f t="shared" si="13"/>
        <v>0</v>
      </c>
      <c r="V51" s="27">
        <f t="shared" si="14"/>
        <v>0</v>
      </c>
      <c r="W51" s="27">
        <f t="shared" si="15"/>
        <v>0</v>
      </c>
      <c r="X51" s="27">
        <f t="shared" si="16"/>
        <v>0</v>
      </c>
      <c r="Y51" s="27">
        <f t="shared" si="17"/>
        <v>0</v>
      </c>
      <c r="Z51" s="27">
        <f t="shared" si="18"/>
        <v>0</v>
      </c>
      <c r="AA51" s="27">
        <f t="shared" si="19"/>
        <v>0</v>
      </c>
      <c r="AB51" s="27">
        <f t="shared" si="20"/>
        <v>0</v>
      </c>
      <c r="AC51" s="27">
        <f t="shared" si="21"/>
        <v>0</v>
      </c>
      <c r="AD51" s="27">
        <f t="shared" si="22"/>
        <v>0</v>
      </c>
      <c r="AE51" s="27">
        <f t="shared" si="23"/>
        <v>0</v>
      </c>
      <c r="AF51" s="27">
        <f t="shared" si="24"/>
        <v>0</v>
      </c>
      <c r="AG51" s="27">
        <f t="shared" si="25"/>
        <v>0</v>
      </c>
      <c r="AH51" s="27">
        <f t="shared" si="26"/>
        <v>0</v>
      </c>
      <c r="AI51" s="27">
        <f t="shared" si="27"/>
        <v>0</v>
      </c>
      <c r="AJ51" s="27">
        <f t="shared" si="28"/>
        <v>0</v>
      </c>
      <c r="AK51" s="27">
        <f t="shared" si="29"/>
        <v>0</v>
      </c>
    </row>
    <row r="52" spans="1:38" ht="20.100000000000001" customHeight="1">
      <c r="A52" s="103"/>
      <c r="B52" s="103"/>
      <c r="C52" s="104"/>
      <c r="D52" s="105"/>
      <c r="E52" s="106"/>
      <c r="F52" s="106"/>
      <c r="G52" s="106"/>
      <c r="H52" s="106"/>
      <c r="I52" s="106"/>
      <c r="J52" s="106"/>
      <c r="K52" s="106"/>
      <c r="L52" s="106"/>
      <c r="M52" s="108"/>
      <c r="P52" s="31" t="s">
        <v>452</v>
      </c>
      <c r="Q52" s="27">
        <v>1</v>
      </c>
      <c r="R52" s="27">
        <f>IF(P52="기계경비",J52,0)</f>
        <v>0</v>
      </c>
      <c r="S52" s="27">
        <f>IF(P52="운반비",J52,0)</f>
        <v>0</v>
      </c>
      <c r="T52" s="27">
        <f>IF(P52="작업부산물",F52,0)</f>
        <v>0</v>
      </c>
      <c r="U52" s="27">
        <f>IF(P52="관급",ROUNDDOWN(D52*E52,0),0)+IF(P52="지급",ROUNDDOWN(D52*E52,0),0)</f>
        <v>0</v>
      </c>
      <c r="V52" s="27">
        <f>IF(P52="외주비",F52+H52+J52,0)</f>
        <v>0</v>
      </c>
      <c r="W52" s="27">
        <f>IF(P52="장비비",F52+H52+J52,0)</f>
        <v>0</v>
      </c>
      <c r="X52" s="27">
        <f>IF(P52="폐기물처리비",J52,0)</f>
        <v>0</v>
      </c>
      <c r="Y52" s="27">
        <f>IF(P52="가설비",J52,0)</f>
        <v>0</v>
      </c>
      <c r="Z52" s="27">
        <f>IF(P52="잡비제외분",F52,0)</f>
        <v>0</v>
      </c>
      <c r="AA52" s="27">
        <f>IF(P52="사급자재대",L52,0)</f>
        <v>0</v>
      </c>
      <c r="AB52" s="27">
        <f>IF(P52="관급자재대",L52,0)</f>
        <v>0</v>
      </c>
      <c r="AC52" s="27">
        <f>IF(P52="사용자항목1",L52,0)</f>
        <v>0</v>
      </c>
      <c r="AD52" s="27">
        <f>IF(P52="사용자항목2",L52,0)</f>
        <v>0</v>
      </c>
      <c r="AE52" s="27">
        <f>IF(P52="사용자항목3",L52,0)</f>
        <v>0</v>
      </c>
      <c r="AF52" s="27">
        <f>IF(P52="사용자항목4",L52,0)</f>
        <v>0</v>
      </c>
      <c r="AG52" s="27">
        <f>IF(P52="사용자항목5",L52,0)</f>
        <v>0</v>
      </c>
      <c r="AH52" s="27">
        <f>IF(P52="사용자항목6",L52,0)</f>
        <v>0</v>
      </c>
      <c r="AI52" s="27">
        <f>IF(P52="사용자항목7",L52,0)</f>
        <v>0</v>
      </c>
      <c r="AJ52" s="27">
        <f>IF(P52="사용자항목8",L52,0)</f>
        <v>0</v>
      </c>
      <c r="AK52" s="27">
        <f>IF(P52="사용자항목9",L52,0)</f>
        <v>0</v>
      </c>
    </row>
    <row r="53" spans="1:38" ht="20.100000000000001" customHeight="1">
      <c r="A53" s="103"/>
      <c r="B53" s="103"/>
      <c r="C53" s="104"/>
      <c r="D53" s="107"/>
      <c r="E53" s="107"/>
      <c r="F53" s="107"/>
      <c r="G53" s="107"/>
      <c r="H53" s="107"/>
      <c r="I53" s="107"/>
      <c r="J53" s="107"/>
      <c r="K53" s="107"/>
      <c r="L53" s="107"/>
      <c r="M53" s="107"/>
    </row>
    <row r="54" spans="1:38" ht="20.100000000000001" customHeight="1">
      <c r="A54" s="103"/>
      <c r="B54" s="103"/>
      <c r="C54" s="104"/>
      <c r="D54" s="107"/>
      <c r="E54" s="107"/>
      <c r="F54" s="107"/>
      <c r="G54" s="107"/>
      <c r="H54" s="107"/>
      <c r="I54" s="107"/>
      <c r="J54" s="107"/>
      <c r="K54" s="107"/>
      <c r="L54" s="107"/>
      <c r="M54" s="107"/>
    </row>
    <row r="55" spans="1:38" ht="20.100000000000001" customHeight="1">
      <c r="A55" s="103"/>
      <c r="B55" s="103"/>
      <c r="C55" s="104"/>
      <c r="D55" s="107"/>
      <c r="E55" s="107"/>
      <c r="F55" s="107"/>
      <c r="G55" s="107"/>
      <c r="H55" s="107"/>
      <c r="I55" s="107"/>
      <c r="J55" s="107"/>
      <c r="K55" s="107"/>
      <c r="L55" s="107"/>
      <c r="M55" s="107"/>
    </row>
    <row r="56" spans="1:38" ht="20.100000000000001" customHeight="1">
      <c r="A56" s="103"/>
      <c r="B56" s="103"/>
      <c r="C56" s="104"/>
      <c r="D56" s="107"/>
      <c r="E56" s="107"/>
      <c r="F56" s="107"/>
      <c r="G56" s="107"/>
      <c r="H56" s="107"/>
      <c r="I56" s="107"/>
      <c r="J56" s="107"/>
      <c r="K56" s="107"/>
      <c r="L56" s="107"/>
      <c r="M56" s="107"/>
    </row>
    <row r="57" spans="1:38" ht="20.100000000000001" customHeight="1">
      <c r="A57" s="103"/>
      <c r="B57" s="103"/>
      <c r="C57" s="104"/>
      <c r="D57" s="107"/>
      <c r="E57" s="107"/>
      <c r="F57" s="107"/>
      <c r="G57" s="107"/>
      <c r="H57" s="107"/>
      <c r="I57" s="107"/>
      <c r="J57" s="107"/>
      <c r="K57" s="107"/>
      <c r="L57" s="107"/>
      <c r="M57" s="107"/>
    </row>
    <row r="58" spans="1:38" ht="20.100000000000001" customHeight="1">
      <c r="A58" s="103"/>
      <c r="B58" s="103"/>
      <c r="C58" s="104"/>
      <c r="D58" s="107"/>
      <c r="E58" s="107"/>
      <c r="F58" s="107"/>
      <c r="G58" s="107"/>
      <c r="H58" s="107"/>
      <c r="I58" s="107"/>
      <c r="J58" s="107"/>
      <c r="K58" s="107"/>
      <c r="L58" s="107"/>
      <c r="M58" s="107"/>
    </row>
    <row r="59" spans="1:38" ht="20.100000000000001" customHeight="1">
      <c r="A59" s="103"/>
      <c r="B59" s="103"/>
      <c r="C59" s="104"/>
      <c r="D59" s="107"/>
      <c r="E59" s="107"/>
      <c r="F59" s="107"/>
      <c r="G59" s="107"/>
      <c r="H59" s="107"/>
      <c r="I59" s="107"/>
      <c r="J59" s="107"/>
      <c r="K59" s="107"/>
      <c r="L59" s="107"/>
      <c r="M59" s="107"/>
    </row>
    <row r="60" spans="1:38" ht="20.100000000000001" customHeight="1">
      <c r="A60" s="103"/>
      <c r="B60" s="103"/>
      <c r="C60" s="104"/>
      <c r="D60" s="107"/>
      <c r="E60" s="107"/>
      <c r="F60" s="107"/>
      <c r="G60" s="107"/>
      <c r="H60" s="107"/>
      <c r="I60" s="107"/>
      <c r="J60" s="107"/>
      <c r="K60" s="107"/>
      <c r="L60" s="107"/>
      <c r="M60" s="107"/>
    </row>
    <row r="61" spans="1:38" ht="20.100000000000001" customHeight="1">
      <c r="A61" s="103"/>
      <c r="B61" s="103"/>
      <c r="C61" s="104"/>
      <c r="D61" s="107"/>
      <c r="E61" s="107"/>
      <c r="F61" s="107"/>
      <c r="G61" s="107"/>
      <c r="H61" s="107"/>
      <c r="I61" s="107"/>
      <c r="J61" s="107"/>
      <c r="K61" s="107"/>
      <c r="L61" s="107"/>
      <c r="M61" s="107"/>
    </row>
    <row r="62" spans="1:38" ht="20.100000000000001" customHeight="1">
      <c r="A62" s="103"/>
      <c r="B62" s="103"/>
      <c r="C62" s="104"/>
      <c r="D62" s="107"/>
      <c r="E62" s="107"/>
      <c r="F62" s="107"/>
      <c r="G62" s="107"/>
      <c r="H62" s="107"/>
      <c r="I62" s="107"/>
      <c r="J62" s="107"/>
      <c r="K62" s="107"/>
      <c r="L62" s="107"/>
      <c r="M62" s="107"/>
    </row>
    <row r="63" spans="1:38" ht="20.100000000000001" customHeight="1">
      <c r="A63" s="103"/>
      <c r="B63" s="103"/>
      <c r="C63" s="104"/>
      <c r="D63" s="107"/>
      <c r="E63" s="107"/>
      <c r="F63" s="107"/>
      <c r="G63" s="107"/>
      <c r="H63" s="107"/>
      <c r="I63" s="107"/>
      <c r="J63" s="107"/>
      <c r="K63" s="107"/>
      <c r="L63" s="107"/>
      <c r="M63" s="107"/>
    </row>
    <row r="64" spans="1:38" ht="20.100000000000001" customHeight="1">
      <c r="A64" s="124" t="s">
        <v>930</v>
      </c>
      <c r="B64" s="119"/>
      <c r="C64" s="120"/>
      <c r="D64" s="121"/>
      <c r="E64" s="122"/>
      <c r="F64" s="122">
        <f>SUMIF($Q$45:$Q$63, 1,$F$45:$F$63)</f>
        <v>0</v>
      </c>
      <c r="G64" s="122"/>
      <c r="H64" s="122">
        <f>SUMIF($Q$45:$Q$63, 1,$H$45:$H$63)</f>
        <v>0</v>
      </c>
      <c r="I64" s="122"/>
      <c r="J64" s="122">
        <f>SUMIF($Q$45:$Q$63, 1,$J$45:$J$63)</f>
        <v>0</v>
      </c>
      <c r="K64" s="122"/>
      <c r="L64" s="122">
        <f>F64+H64+J64</f>
        <v>0</v>
      </c>
      <c r="M64" s="121"/>
      <c r="R64" s="27">
        <f>SUM($R$45:$R$63)</f>
        <v>0</v>
      </c>
      <c r="S64" s="27">
        <f>SUM($S$45:$S$63)</f>
        <v>0</v>
      </c>
      <c r="T64" s="27">
        <f>SUM($T$45:$T$63)</f>
        <v>0</v>
      </c>
      <c r="U64" s="27">
        <f>SUM($U$45:$U$63)</f>
        <v>0</v>
      </c>
      <c r="V64" s="27">
        <f>SUM($V$45:$V$63)</f>
        <v>0</v>
      </c>
      <c r="W64" s="27">
        <f>SUM($W$45:$W$63)</f>
        <v>0</v>
      </c>
      <c r="X64" s="27">
        <f>SUM($X$45:$X$63)</f>
        <v>0</v>
      </c>
      <c r="Y64" s="27">
        <f>SUM($Y$45:$Y$63)</f>
        <v>0</v>
      </c>
      <c r="Z64" s="27">
        <f>SUM($Z$45:$Z$63)</f>
        <v>0</v>
      </c>
      <c r="AA64" s="27">
        <f>SUM($AA$45:$AA$63)</f>
        <v>0</v>
      </c>
      <c r="AB64" s="27">
        <f>SUM($AB$45:$AB$63)</f>
        <v>0</v>
      </c>
      <c r="AC64" s="27">
        <f>SUM($AC$45:$AC$63)</f>
        <v>0</v>
      </c>
      <c r="AD64" s="27">
        <f>SUM($AD$45:$AD$63)</f>
        <v>0</v>
      </c>
      <c r="AE64" s="27">
        <f>SUM($AE$45:$AE$63)</f>
        <v>0</v>
      </c>
      <c r="AF64" s="27">
        <f>SUM($AF$45:$AF$63)</f>
        <v>0</v>
      </c>
      <c r="AG64" s="27">
        <f>SUM($AG$45:$AG$63)</f>
        <v>0</v>
      </c>
      <c r="AH64" s="27">
        <f>SUM($AH$45:$AH$63)</f>
        <v>0</v>
      </c>
      <c r="AI64" s="27">
        <f>SUM($AI$45:$AI$63)</f>
        <v>0</v>
      </c>
      <c r="AJ64" s="27">
        <f>SUM($AJ$45:$AJ$63)</f>
        <v>0</v>
      </c>
      <c r="AK64" s="27">
        <f>SUM($AK$45:$AK$63)</f>
        <v>0</v>
      </c>
      <c r="AL64" s="27">
        <f>SUM($AL$45:$AL$63)</f>
        <v>0</v>
      </c>
    </row>
    <row r="65" spans="1:37" ht="20.100000000000001" customHeight="1">
      <c r="A65" s="64" t="s">
        <v>841</v>
      </c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118"/>
    </row>
    <row r="66" spans="1:37" ht="20.100000000000001" customHeight="1">
      <c r="A66" s="103" t="s">
        <v>289</v>
      </c>
      <c r="B66" s="103" t="s">
        <v>290</v>
      </c>
      <c r="C66" s="104" t="s">
        <v>26</v>
      </c>
      <c r="D66" s="105">
        <v>10</v>
      </c>
      <c r="E66" s="106"/>
      <c r="F66" s="106">
        <f>ROUNDDOWN(D66*E66,0)</f>
        <v>0</v>
      </c>
      <c r="G66" s="106"/>
      <c r="H66" s="106">
        <f>ROUNDDOWN(D66*G66,0)</f>
        <v>0</v>
      </c>
      <c r="I66" s="106"/>
      <c r="J66" s="106">
        <f>ROUNDDOWN(D66*I66,0)</f>
        <v>0</v>
      </c>
      <c r="K66" s="106">
        <f t="shared" ref="K66:L70" si="30">E66+G66+I66</f>
        <v>0</v>
      </c>
      <c r="L66" s="106">
        <f t="shared" si="30"/>
        <v>0</v>
      </c>
      <c r="M66" s="107"/>
      <c r="O66" s="31" t="s">
        <v>457</v>
      </c>
      <c r="P66" s="31" t="s">
        <v>452</v>
      </c>
      <c r="Q66" s="27">
        <v>1</v>
      </c>
      <c r="R66" s="27">
        <f>IF(P66="기계경비",J66,0)</f>
        <v>0</v>
      </c>
      <c r="S66" s="27">
        <f>IF(P66="운반비",J66,0)</f>
        <v>0</v>
      </c>
      <c r="T66" s="27">
        <f>IF(P66="작업부산물",F66,0)</f>
        <v>0</v>
      </c>
      <c r="U66" s="27">
        <f>IF(P66="관급",ROUNDDOWN(D66*E66,0),0)+IF(P66="지급",ROUNDDOWN(D66*E66,0),0)</f>
        <v>0</v>
      </c>
      <c r="V66" s="27">
        <f>IF(P66="외주비",F66+H66+J66,0)</f>
        <v>0</v>
      </c>
      <c r="W66" s="27">
        <f>IF(P66="장비비",F66+H66+J66,0)</f>
        <v>0</v>
      </c>
      <c r="X66" s="27">
        <f>IF(P66="폐기물처리비",J66,0)</f>
        <v>0</v>
      </c>
      <c r="Y66" s="27">
        <f>IF(P66="가설비",J66,0)</f>
        <v>0</v>
      </c>
      <c r="Z66" s="27">
        <f>IF(P66="잡비제외분",F66,0)</f>
        <v>0</v>
      </c>
      <c r="AA66" s="27">
        <f>IF(P66="사급자재대",L66,0)</f>
        <v>0</v>
      </c>
      <c r="AB66" s="27">
        <f>IF(P66="관급자재대",L66,0)</f>
        <v>0</v>
      </c>
      <c r="AC66" s="27">
        <f>IF(P66="사용자항목1",L66,0)</f>
        <v>0</v>
      </c>
      <c r="AD66" s="27">
        <f>IF(P66="사용자항목2",L66,0)</f>
        <v>0</v>
      </c>
      <c r="AE66" s="27">
        <f>IF(P66="사용자항목3",L66,0)</f>
        <v>0</v>
      </c>
      <c r="AF66" s="27">
        <f>IF(P66="사용자항목4",L66,0)</f>
        <v>0</v>
      </c>
      <c r="AG66" s="27">
        <f>IF(P66="사용자항목5",L66,0)</f>
        <v>0</v>
      </c>
      <c r="AH66" s="27">
        <f>IF(P66="사용자항목6",L66,0)</f>
        <v>0</v>
      </c>
      <c r="AI66" s="27">
        <f>IF(P66="사용자항목7",L66,0)</f>
        <v>0</v>
      </c>
      <c r="AJ66" s="27">
        <f>IF(P66="사용자항목8",L66,0)</f>
        <v>0</v>
      </c>
      <c r="AK66" s="27">
        <f>IF(P66="사용자항목9",L66,0)</f>
        <v>0</v>
      </c>
    </row>
    <row r="67" spans="1:37" ht="20.100000000000001" customHeight="1">
      <c r="A67" s="103" t="s">
        <v>742</v>
      </c>
      <c r="B67" s="103" t="s">
        <v>574</v>
      </c>
      <c r="C67" s="104" t="s">
        <v>26</v>
      </c>
      <c r="D67" s="105">
        <v>10</v>
      </c>
      <c r="E67" s="106"/>
      <c r="F67" s="106">
        <f>ROUNDDOWN(D67*E67,0)</f>
        <v>0</v>
      </c>
      <c r="G67" s="106"/>
      <c r="H67" s="106">
        <f>ROUNDDOWN(D67*G67,0)</f>
        <v>0</v>
      </c>
      <c r="I67" s="106"/>
      <c r="J67" s="106">
        <f>ROUNDDOWN(D67*I67,0)</f>
        <v>0</v>
      </c>
      <c r="K67" s="106">
        <f t="shared" si="30"/>
        <v>0</v>
      </c>
      <c r="L67" s="106">
        <f t="shared" si="30"/>
        <v>0</v>
      </c>
      <c r="M67" s="108"/>
      <c r="P67" s="31" t="s">
        <v>452</v>
      </c>
      <c r="Q67" s="27">
        <v>1</v>
      </c>
      <c r="R67" s="27">
        <f>IF(P67="기계경비",J67,0)</f>
        <v>0</v>
      </c>
      <c r="S67" s="27">
        <f>IF(P67="운반비",J67,0)</f>
        <v>0</v>
      </c>
      <c r="T67" s="27">
        <f>IF(P67="작업부산물",F67,0)</f>
        <v>0</v>
      </c>
      <c r="U67" s="27">
        <f>IF(P67="관급",ROUNDDOWN(D67*E67,0),0)+IF(P67="지급",ROUNDDOWN(D67*E67,0),0)</f>
        <v>0</v>
      </c>
      <c r="V67" s="27">
        <f>IF(P67="외주비",F67+H67+J67,0)</f>
        <v>0</v>
      </c>
      <c r="W67" s="27">
        <f>IF(P67="장비비",F67+H67+J67,0)</f>
        <v>0</v>
      </c>
      <c r="X67" s="27">
        <f>IF(P67="폐기물처리비",J67,0)</f>
        <v>0</v>
      </c>
      <c r="Y67" s="27">
        <f>IF(P67="가설비",J67,0)</f>
        <v>0</v>
      </c>
      <c r="Z67" s="27">
        <f>IF(P67="잡비제외분",F67,0)</f>
        <v>0</v>
      </c>
      <c r="AA67" s="27">
        <f>IF(P67="사급자재대",L67,0)</f>
        <v>0</v>
      </c>
      <c r="AB67" s="27">
        <f>IF(P67="관급자재대",L67,0)</f>
        <v>0</v>
      </c>
      <c r="AC67" s="27">
        <f>IF(P67="사용자항목1",L67,0)</f>
        <v>0</v>
      </c>
      <c r="AD67" s="27">
        <f>IF(P67="사용자항목2",L67,0)</f>
        <v>0</v>
      </c>
      <c r="AE67" s="27">
        <f>IF(P67="사용자항목3",L67,0)</f>
        <v>0</v>
      </c>
      <c r="AF67" s="27">
        <f>IF(P67="사용자항목4",L67,0)</f>
        <v>0</v>
      </c>
      <c r="AG67" s="27">
        <f>IF(P67="사용자항목5",L67,0)</f>
        <v>0</v>
      </c>
      <c r="AH67" s="27">
        <f>IF(P67="사용자항목6",L67,0)</f>
        <v>0</v>
      </c>
      <c r="AI67" s="27">
        <f>IF(P67="사용자항목7",L67,0)</f>
        <v>0</v>
      </c>
      <c r="AJ67" s="27">
        <f>IF(P67="사용자항목8",L67,0)</f>
        <v>0</v>
      </c>
      <c r="AK67" s="27">
        <f>IF(P67="사용자항목9",L67,0)</f>
        <v>0</v>
      </c>
    </row>
    <row r="68" spans="1:37" ht="20.100000000000001" customHeight="1">
      <c r="A68" s="103" t="s">
        <v>289</v>
      </c>
      <c r="B68" s="103" t="s">
        <v>292</v>
      </c>
      <c r="C68" s="104" t="s">
        <v>26</v>
      </c>
      <c r="D68" s="105">
        <v>41</v>
      </c>
      <c r="E68" s="106"/>
      <c r="F68" s="106">
        <f>ROUNDDOWN(D68*E68,0)</f>
        <v>0</v>
      </c>
      <c r="G68" s="106"/>
      <c r="H68" s="106">
        <f>ROUNDDOWN(D68*G68,0)</f>
        <v>0</v>
      </c>
      <c r="I68" s="106"/>
      <c r="J68" s="106">
        <f>ROUNDDOWN(D68*I68,0)</f>
        <v>0</v>
      </c>
      <c r="K68" s="106">
        <f t="shared" si="30"/>
        <v>0</v>
      </c>
      <c r="L68" s="106">
        <f t="shared" si="30"/>
        <v>0</v>
      </c>
      <c r="M68" s="107"/>
      <c r="O68" s="31" t="s">
        <v>457</v>
      </c>
      <c r="P68" s="31" t="s">
        <v>452</v>
      </c>
      <c r="Q68" s="27">
        <v>1</v>
      </c>
      <c r="R68" s="27">
        <f>IF(P68="기계경비",J68,0)</f>
        <v>0</v>
      </c>
      <c r="S68" s="27">
        <f>IF(P68="운반비",J68,0)</f>
        <v>0</v>
      </c>
      <c r="T68" s="27">
        <f>IF(P68="작업부산물",F68,0)</f>
        <v>0</v>
      </c>
      <c r="U68" s="27">
        <f>IF(P68="관급",ROUNDDOWN(D68*E68,0),0)+IF(P68="지급",ROUNDDOWN(D68*E68,0),0)</f>
        <v>0</v>
      </c>
      <c r="V68" s="27">
        <f>IF(P68="외주비",F68+H68+J68,0)</f>
        <v>0</v>
      </c>
      <c r="W68" s="27">
        <f>IF(P68="장비비",F68+H68+J68,0)</f>
        <v>0</v>
      </c>
      <c r="X68" s="27">
        <f>IF(P68="폐기물처리비",J68,0)</f>
        <v>0</v>
      </c>
      <c r="Y68" s="27">
        <f>IF(P68="가설비",J68,0)</f>
        <v>0</v>
      </c>
      <c r="Z68" s="27">
        <f>IF(P68="잡비제외분",F68,0)</f>
        <v>0</v>
      </c>
      <c r="AA68" s="27">
        <f>IF(P68="사급자재대",L68,0)</f>
        <v>0</v>
      </c>
      <c r="AB68" s="27">
        <f>IF(P68="관급자재대",L68,0)</f>
        <v>0</v>
      </c>
      <c r="AC68" s="27">
        <f>IF(P68="사용자항목1",L68,0)</f>
        <v>0</v>
      </c>
      <c r="AD68" s="27">
        <f>IF(P68="사용자항목2",L68,0)</f>
        <v>0</v>
      </c>
      <c r="AE68" s="27">
        <f>IF(P68="사용자항목3",L68,0)</f>
        <v>0</v>
      </c>
      <c r="AF68" s="27">
        <f>IF(P68="사용자항목4",L68,0)</f>
        <v>0</v>
      </c>
      <c r="AG68" s="27">
        <f>IF(P68="사용자항목5",L68,0)</f>
        <v>0</v>
      </c>
      <c r="AH68" s="27">
        <f>IF(P68="사용자항목6",L68,0)</f>
        <v>0</v>
      </c>
      <c r="AI68" s="27">
        <f>IF(P68="사용자항목7",L68,0)</f>
        <v>0</v>
      </c>
      <c r="AJ68" s="27">
        <f>IF(P68="사용자항목8",L68,0)</f>
        <v>0</v>
      </c>
      <c r="AK68" s="27">
        <f>IF(P68="사용자항목9",L68,0)</f>
        <v>0</v>
      </c>
    </row>
    <row r="69" spans="1:37" ht="20.100000000000001" customHeight="1">
      <c r="A69" s="103" t="s">
        <v>742</v>
      </c>
      <c r="B69" s="103" t="s">
        <v>584</v>
      </c>
      <c r="C69" s="104" t="s">
        <v>26</v>
      </c>
      <c r="D69" s="105">
        <v>39</v>
      </c>
      <c r="E69" s="106"/>
      <c r="F69" s="106">
        <f>ROUNDDOWN(D69*E69,0)</f>
        <v>0</v>
      </c>
      <c r="G69" s="106"/>
      <c r="H69" s="106">
        <f>ROUNDDOWN(D69*G69,0)</f>
        <v>0</v>
      </c>
      <c r="I69" s="106"/>
      <c r="J69" s="106">
        <f>ROUNDDOWN(D69*I69,0)</f>
        <v>0</v>
      </c>
      <c r="K69" s="106">
        <f t="shared" si="30"/>
        <v>0</v>
      </c>
      <c r="L69" s="106">
        <f t="shared" si="30"/>
        <v>0</v>
      </c>
      <c r="M69" s="108"/>
      <c r="P69" s="31" t="s">
        <v>452</v>
      </c>
      <c r="Q69" s="27">
        <v>1</v>
      </c>
      <c r="R69" s="27">
        <f>IF(P69="기계경비",J69,0)</f>
        <v>0</v>
      </c>
      <c r="S69" s="27">
        <f>IF(P69="운반비",J69,0)</f>
        <v>0</v>
      </c>
      <c r="T69" s="27">
        <f>IF(P69="작업부산물",F69,0)</f>
        <v>0</v>
      </c>
      <c r="U69" s="27">
        <f>IF(P69="관급",ROUNDDOWN(D69*E69,0),0)+IF(P69="지급",ROUNDDOWN(D69*E69,0),0)</f>
        <v>0</v>
      </c>
      <c r="V69" s="27">
        <f>IF(P69="외주비",F69+H69+J69,0)</f>
        <v>0</v>
      </c>
      <c r="W69" s="27">
        <f>IF(P69="장비비",F69+H69+J69,0)</f>
        <v>0</v>
      </c>
      <c r="X69" s="27">
        <f>IF(P69="폐기물처리비",J69,0)</f>
        <v>0</v>
      </c>
      <c r="Y69" s="27">
        <f>IF(P69="가설비",J69,0)</f>
        <v>0</v>
      </c>
      <c r="Z69" s="27">
        <f>IF(P69="잡비제외분",F69,0)</f>
        <v>0</v>
      </c>
      <c r="AA69" s="27">
        <f>IF(P69="사급자재대",L69,0)</f>
        <v>0</v>
      </c>
      <c r="AB69" s="27">
        <f>IF(P69="관급자재대",L69,0)</f>
        <v>0</v>
      </c>
      <c r="AC69" s="27">
        <f>IF(P69="사용자항목1",L69,0)</f>
        <v>0</v>
      </c>
      <c r="AD69" s="27">
        <f>IF(P69="사용자항목2",L69,0)</f>
        <v>0</v>
      </c>
      <c r="AE69" s="27">
        <f>IF(P69="사용자항목3",L69,0)</f>
        <v>0</v>
      </c>
      <c r="AF69" s="27">
        <f>IF(P69="사용자항목4",L69,0)</f>
        <v>0</v>
      </c>
      <c r="AG69" s="27">
        <f>IF(P69="사용자항목5",L69,0)</f>
        <v>0</v>
      </c>
      <c r="AH69" s="27">
        <f>IF(P69="사용자항목6",L69,0)</f>
        <v>0</v>
      </c>
      <c r="AI69" s="27">
        <f>IF(P69="사용자항목7",L69,0)</f>
        <v>0</v>
      </c>
      <c r="AJ69" s="27">
        <f>IF(P69="사용자항목8",L69,0)</f>
        <v>0</v>
      </c>
      <c r="AK69" s="27">
        <f>IF(P69="사용자항목9",L69,0)</f>
        <v>0</v>
      </c>
    </row>
    <row r="70" spans="1:37" ht="20.100000000000001" customHeight="1">
      <c r="A70" s="103" t="s">
        <v>735</v>
      </c>
      <c r="B70" s="103" t="s">
        <v>586</v>
      </c>
      <c r="C70" s="104" t="s">
        <v>26</v>
      </c>
      <c r="D70" s="105">
        <v>6</v>
      </c>
      <c r="E70" s="106"/>
      <c r="F70" s="106">
        <f>ROUNDDOWN(D70*E70,0)</f>
        <v>0</v>
      </c>
      <c r="G70" s="106"/>
      <c r="H70" s="106">
        <f>ROUNDDOWN(D70*G70,0)</f>
        <v>0</v>
      </c>
      <c r="I70" s="106"/>
      <c r="J70" s="106">
        <f>ROUNDDOWN(D70*I70,0)</f>
        <v>0</v>
      </c>
      <c r="K70" s="106">
        <f t="shared" si="30"/>
        <v>0</v>
      </c>
      <c r="L70" s="106">
        <f t="shared" si="30"/>
        <v>0</v>
      </c>
      <c r="M70" s="108"/>
      <c r="P70" s="31" t="s">
        <v>452</v>
      </c>
      <c r="Q70" s="27">
        <v>1</v>
      </c>
      <c r="R70" s="27">
        <f>IF(P70="기계경비",J70,0)</f>
        <v>0</v>
      </c>
      <c r="S70" s="27">
        <f>IF(P70="운반비",J70,0)</f>
        <v>0</v>
      </c>
      <c r="T70" s="27">
        <f>IF(P70="작업부산물",F70,0)</f>
        <v>0</v>
      </c>
      <c r="U70" s="27">
        <f>IF(P70="관급",ROUNDDOWN(D70*E70,0),0)+IF(P70="지급",ROUNDDOWN(D70*E70,0),0)</f>
        <v>0</v>
      </c>
      <c r="V70" s="27">
        <f>IF(P70="외주비",F70+H70+J70,0)</f>
        <v>0</v>
      </c>
      <c r="W70" s="27">
        <f>IF(P70="장비비",F70+H70+J70,0)</f>
        <v>0</v>
      </c>
      <c r="X70" s="27">
        <f>IF(P70="폐기물처리비",J70,0)</f>
        <v>0</v>
      </c>
      <c r="Y70" s="27">
        <f>IF(P70="가설비",J70,0)</f>
        <v>0</v>
      </c>
      <c r="Z70" s="27">
        <f>IF(P70="잡비제외분",F70,0)</f>
        <v>0</v>
      </c>
      <c r="AA70" s="27">
        <f>IF(P70="사급자재대",L70,0)</f>
        <v>0</v>
      </c>
      <c r="AB70" s="27">
        <f>IF(P70="관급자재대",L70,0)</f>
        <v>0</v>
      </c>
      <c r="AC70" s="27">
        <f>IF(P70="사용자항목1",L70,0)</f>
        <v>0</v>
      </c>
      <c r="AD70" s="27">
        <f>IF(P70="사용자항목2",L70,0)</f>
        <v>0</v>
      </c>
      <c r="AE70" s="27">
        <f>IF(P70="사용자항목3",L70,0)</f>
        <v>0</v>
      </c>
      <c r="AF70" s="27">
        <f>IF(P70="사용자항목4",L70,0)</f>
        <v>0</v>
      </c>
      <c r="AG70" s="27">
        <f>IF(P70="사용자항목5",L70,0)</f>
        <v>0</v>
      </c>
      <c r="AH70" s="27">
        <f>IF(P70="사용자항목6",L70,0)</f>
        <v>0</v>
      </c>
      <c r="AI70" s="27">
        <f>IF(P70="사용자항목7",L70,0)</f>
        <v>0</v>
      </c>
      <c r="AJ70" s="27">
        <f>IF(P70="사용자항목8",L70,0)</f>
        <v>0</v>
      </c>
      <c r="AK70" s="27">
        <f>IF(P70="사용자항목9",L70,0)</f>
        <v>0</v>
      </c>
    </row>
    <row r="71" spans="1:37" ht="20.100000000000001" customHeight="1">
      <c r="A71" s="103"/>
      <c r="B71" s="103"/>
      <c r="C71" s="104"/>
      <c r="D71" s="107"/>
      <c r="E71" s="107"/>
      <c r="F71" s="107"/>
      <c r="G71" s="107"/>
      <c r="H71" s="107"/>
      <c r="I71" s="107"/>
      <c r="J71" s="107"/>
      <c r="K71" s="107"/>
      <c r="L71" s="107"/>
      <c r="M71" s="107"/>
    </row>
    <row r="72" spans="1:37" ht="20.100000000000001" customHeight="1">
      <c r="A72" s="103"/>
      <c r="B72" s="103"/>
      <c r="C72" s="104"/>
      <c r="D72" s="107"/>
      <c r="E72" s="107"/>
      <c r="F72" s="107"/>
      <c r="G72" s="107"/>
      <c r="H72" s="107"/>
      <c r="I72" s="107"/>
      <c r="J72" s="107"/>
      <c r="K72" s="107"/>
      <c r="L72" s="107"/>
      <c r="M72" s="107"/>
    </row>
    <row r="73" spans="1:37" ht="20.100000000000001" customHeight="1">
      <c r="A73" s="103"/>
      <c r="B73" s="103"/>
      <c r="C73" s="104"/>
      <c r="D73" s="107"/>
      <c r="E73" s="107"/>
      <c r="F73" s="107"/>
      <c r="G73" s="107"/>
      <c r="H73" s="107"/>
      <c r="I73" s="107"/>
      <c r="J73" s="107"/>
      <c r="K73" s="107"/>
      <c r="L73" s="107"/>
      <c r="M73" s="107"/>
    </row>
    <row r="74" spans="1:37" ht="20.100000000000001" customHeight="1">
      <c r="A74" s="103"/>
      <c r="B74" s="103"/>
      <c r="C74" s="104"/>
      <c r="D74" s="107"/>
      <c r="E74" s="107"/>
      <c r="F74" s="107"/>
      <c r="G74" s="107"/>
      <c r="H74" s="107"/>
      <c r="I74" s="107"/>
      <c r="J74" s="107"/>
      <c r="K74" s="107"/>
      <c r="L74" s="107"/>
      <c r="M74" s="107"/>
    </row>
    <row r="75" spans="1:37" ht="20.100000000000001" customHeight="1">
      <c r="A75" s="103"/>
      <c r="B75" s="103"/>
      <c r="C75" s="104"/>
      <c r="D75" s="107"/>
      <c r="E75" s="107"/>
      <c r="F75" s="107"/>
      <c r="G75" s="107"/>
      <c r="H75" s="107"/>
      <c r="I75" s="107"/>
      <c r="J75" s="107"/>
      <c r="K75" s="107"/>
      <c r="L75" s="107"/>
      <c r="M75" s="107"/>
    </row>
    <row r="76" spans="1:37" ht="20.100000000000001" customHeight="1">
      <c r="A76" s="103"/>
      <c r="B76" s="103"/>
      <c r="C76" s="104"/>
      <c r="D76" s="107"/>
      <c r="E76" s="107"/>
      <c r="F76" s="107"/>
      <c r="G76" s="107"/>
      <c r="H76" s="107"/>
      <c r="I76" s="107"/>
      <c r="J76" s="107"/>
      <c r="K76" s="107"/>
      <c r="L76" s="107"/>
      <c r="M76" s="107"/>
    </row>
    <row r="77" spans="1:37" ht="20.100000000000001" customHeight="1">
      <c r="A77" s="103"/>
      <c r="B77" s="103"/>
      <c r="C77" s="104"/>
      <c r="D77" s="107"/>
      <c r="E77" s="107"/>
      <c r="F77" s="107"/>
      <c r="G77" s="107"/>
      <c r="H77" s="107"/>
      <c r="I77" s="107"/>
      <c r="J77" s="107"/>
      <c r="K77" s="107"/>
      <c r="L77" s="107"/>
      <c r="M77" s="107"/>
    </row>
    <row r="78" spans="1:37" ht="20.100000000000001" customHeight="1">
      <c r="A78" s="103"/>
      <c r="B78" s="103"/>
      <c r="C78" s="104"/>
      <c r="D78" s="107"/>
      <c r="E78" s="107"/>
      <c r="F78" s="107"/>
      <c r="G78" s="107"/>
      <c r="H78" s="107"/>
      <c r="I78" s="107"/>
      <c r="J78" s="107"/>
      <c r="K78" s="107"/>
      <c r="L78" s="107"/>
      <c r="M78" s="107"/>
    </row>
    <row r="79" spans="1:37" ht="20.100000000000001" customHeight="1">
      <c r="A79" s="103"/>
      <c r="B79" s="103"/>
      <c r="C79" s="104"/>
      <c r="D79" s="107"/>
      <c r="E79" s="107"/>
      <c r="F79" s="107"/>
      <c r="G79" s="107"/>
      <c r="H79" s="107"/>
      <c r="I79" s="107"/>
      <c r="J79" s="107"/>
      <c r="K79" s="107"/>
      <c r="L79" s="107"/>
      <c r="M79" s="107"/>
    </row>
    <row r="80" spans="1:37" ht="20.100000000000001" customHeight="1">
      <c r="A80" s="103"/>
      <c r="B80" s="103"/>
      <c r="C80" s="104"/>
      <c r="D80" s="107"/>
      <c r="E80" s="107"/>
      <c r="F80" s="107"/>
      <c r="G80" s="107"/>
      <c r="H80" s="107"/>
      <c r="I80" s="107"/>
      <c r="J80" s="107"/>
      <c r="K80" s="107"/>
      <c r="L80" s="107"/>
      <c r="M80" s="107"/>
    </row>
    <row r="81" spans="1:38" ht="20.100000000000001" customHeight="1">
      <c r="A81" s="103"/>
      <c r="B81" s="103"/>
      <c r="C81" s="104"/>
      <c r="D81" s="107"/>
      <c r="E81" s="107"/>
      <c r="F81" s="107"/>
      <c r="G81" s="107"/>
      <c r="H81" s="107"/>
      <c r="I81" s="107"/>
      <c r="J81" s="107"/>
      <c r="K81" s="107"/>
      <c r="L81" s="107"/>
      <c r="M81" s="107"/>
    </row>
    <row r="82" spans="1:38" ht="20.100000000000001" customHeight="1">
      <c r="A82" s="103"/>
      <c r="B82" s="103"/>
      <c r="C82" s="104"/>
      <c r="D82" s="107"/>
      <c r="E82" s="107"/>
      <c r="F82" s="107"/>
      <c r="G82" s="107"/>
      <c r="H82" s="107"/>
      <c r="I82" s="107"/>
      <c r="J82" s="107"/>
      <c r="K82" s="107"/>
      <c r="L82" s="107"/>
      <c r="M82" s="107"/>
    </row>
    <row r="83" spans="1:38" ht="20.100000000000001" customHeight="1">
      <c r="A83" s="103"/>
      <c r="B83" s="103"/>
      <c r="C83" s="104"/>
      <c r="D83" s="107"/>
      <c r="E83" s="107"/>
      <c r="F83" s="107"/>
      <c r="G83" s="107"/>
      <c r="H83" s="107"/>
      <c r="I83" s="107"/>
      <c r="J83" s="107"/>
      <c r="K83" s="107"/>
      <c r="L83" s="107"/>
      <c r="M83" s="107"/>
    </row>
    <row r="84" spans="1:38" ht="20.100000000000001" customHeight="1">
      <c r="A84" s="124" t="s">
        <v>930</v>
      </c>
      <c r="B84" s="119"/>
      <c r="C84" s="120"/>
      <c r="D84" s="121"/>
      <c r="E84" s="122"/>
      <c r="F84" s="122">
        <f>SUMIF($Q$65:$Q$83, 1,$F$65:$F$83)</f>
        <v>0</v>
      </c>
      <c r="G84" s="122"/>
      <c r="H84" s="122">
        <f>SUMIF($Q$65:$Q$83, 1,$H$65:$H$83)</f>
        <v>0</v>
      </c>
      <c r="I84" s="122"/>
      <c r="J84" s="122">
        <f>SUMIF($Q$65:$Q$83, 1,$J$65:$J$83)</f>
        <v>0</v>
      </c>
      <c r="K84" s="122"/>
      <c r="L84" s="122">
        <f>F84+H84+J84</f>
        <v>0</v>
      </c>
      <c r="M84" s="121"/>
      <c r="R84" s="27">
        <f>SUM($R$65:$R$83)</f>
        <v>0</v>
      </c>
      <c r="S84" s="27">
        <f>SUM($S$65:$S$83)</f>
        <v>0</v>
      </c>
      <c r="T84" s="27">
        <f>SUM($T$65:$T$83)</f>
        <v>0</v>
      </c>
      <c r="U84" s="27">
        <f>SUM($U$65:$U$83)</f>
        <v>0</v>
      </c>
      <c r="V84" s="27">
        <f>SUM($V$65:$V$83)</f>
        <v>0</v>
      </c>
      <c r="W84" s="27">
        <f>SUM($W$65:$W$83)</f>
        <v>0</v>
      </c>
      <c r="X84" s="27">
        <f>SUM($X$65:$X$83)</f>
        <v>0</v>
      </c>
      <c r="Y84" s="27">
        <f>SUM($Y$65:$Y$83)</f>
        <v>0</v>
      </c>
      <c r="Z84" s="27">
        <f>SUM($Z$65:$Z$83)</f>
        <v>0</v>
      </c>
      <c r="AA84" s="27">
        <f>SUM($AA$65:$AA$83)</f>
        <v>0</v>
      </c>
      <c r="AB84" s="27">
        <f>SUM($AB$65:$AB$83)</f>
        <v>0</v>
      </c>
      <c r="AC84" s="27">
        <f>SUM($AC$65:$AC$83)</f>
        <v>0</v>
      </c>
      <c r="AD84" s="27">
        <f>SUM($AD$65:$AD$83)</f>
        <v>0</v>
      </c>
      <c r="AE84" s="27">
        <f>SUM($AE$65:$AE$83)</f>
        <v>0</v>
      </c>
      <c r="AF84" s="27">
        <f>SUM($AF$65:$AF$83)</f>
        <v>0</v>
      </c>
      <c r="AG84" s="27">
        <f>SUM($AG$65:$AG$83)</f>
        <v>0</v>
      </c>
      <c r="AH84" s="27">
        <f>SUM($AH$65:$AH$83)</f>
        <v>0</v>
      </c>
      <c r="AI84" s="27">
        <f>SUM($AI$65:$AI$83)</f>
        <v>0</v>
      </c>
      <c r="AJ84" s="27">
        <f>SUM($AJ$65:$AJ$83)</f>
        <v>0</v>
      </c>
      <c r="AK84" s="27">
        <f>SUM($AK$65:$AK$83)</f>
        <v>0</v>
      </c>
      <c r="AL84" s="27">
        <f>SUM($AL$65:$AL$83)</f>
        <v>0</v>
      </c>
    </row>
    <row r="85" spans="1:38" ht="20.100000000000001" customHeight="1">
      <c r="A85" s="64" t="s">
        <v>842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118"/>
    </row>
    <row r="86" spans="1:38" ht="20.100000000000001" customHeight="1">
      <c r="A86" s="103" t="s">
        <v>746</v>
      </c>
      <c r="B86" s="103" t="s">
        <v>588</v>
      </c>
      <c r="C86" s="104" t="s">
        <v>237</v>
      </c>
      <c r="D86" s="105">
        <v>1</v>
      </c>
      <c r="E86" s="106"/>
      <c r="F86" s="106">
        <f t="shared" ref="F86:F94" si="31">ROUNDDOWN(D86*E86,0)</f>
        <v>0</v>
      </c>
      <c r="G86" s="106"/>
      <c r="H86" s="106">
        <f t="shared" ref="H86:H94" si="32">ROUNDDOWN(D86*G86,0)</f>
        <v>0</v>
      </c>
      <c r="I86" s="106"/>
      <c r="J86" s="106">
        <f t="shared" ref="J86:J94" si="33">ROUNDDOWN(D86*I86,0)</f>
        <v>0</v>
      </c>
      <c r="K86" s="106">
        <f t="shared" ref="K86:K94" si="34">E86+G86+I86</f>
        <v>0</v>
      </c>
      <c r="L86" s="106">
        <f t="shared" ref="L86:L94" si="35">F86+H86+J86</f>
        <v>0</v>
      </c>
      <c r="M86" s="108"/>
      <c r="P86" s="31" t="s">
        <v>452</v>
      </c>
      <c r="Q86" s="27">
        <v>1</v>
      </c>
      <c r="R86" s="27">
        <f t="shared" ref="R86:R94" si="36">IF(P86="기계경비",J86,0)</f>
        <v>0</v>
      </c>
      <c r="S86" s="27">
        <f t="shared" ref="S86:S94" si="37">IF(P86="운반비",J86,0)</f>
        <v>0</v>
      </c>
      <c r="T86" s="27">
        <f t="shared" ref="T86:T94" si="38">IF(P86="작업부산물",F86,0)</f>
        <v>0</v>
      </c>
      <c r="U86" s="27">
        <f t="shared" ref="U86:U94" si="39">IF(P86="관급",ROUNDDOWN(D86*E86,0),0)+IF(P86="지급",ROUNDDOWN(D86*E86,0),0)</f>
        <v>0</v>
      </c>
      <c r="V86" s="27">
        <f t="shared" ref="V86:V94" si="40">IF(P86="외주비",F86+H86+J86,0)</f>
        <v>0</v>
      </c>
      <c r="W86" s="27">
        <f t="shared" ref="W86:W94" si="41">IF(P86="장비비",F86+H86+J86,0)</f>
        <v>0</v>
      </c>
      <c r="X86" s="27">
        <f t="shared" ref="X86:X94" si="42">IF(P86="폐기물처리비",J86,0)</f>
        <v>0</v>
      </c>
      <c r="Y86" s="27">
        <f t="shared" ref="Y86:Y94" si="43">IF(P86="가설비",J86,0)</f>
        <v>0</v>
      </c>
      <c r="Z86" s="27">
        <f t="shared" ref="Z86:Z94" si="44">IF(P86="잡비제외분",F86,0)</f>
        <v>0</v>
      </c>
      <c r="AA86" s="27">
        <f t="shared" ref="AA86:AA94" si="45">IF(P86="사급자재대",L86,0)</f>
        <v>0</v>
      </c>
      <c r="AB86" s="27">
        <f t="shared" ref="AB86:AB94" si="46">IF(P86="관급자재대",L86,0)</f>
        <v>0</v>
      </c>
      <c r="AC86" s="27">
        <f t="shared" ref="AC86:AC94" si="47">IF(P86="사용자항목1",L86,0)</f>
        <v>0</v>
      </c>
      <c r="AD86" s="27">
        <f t="shared" ref="AD86:AD94" si="48">IF(P86="사용자항목2",L86,0)</f>
        <v>0</v>
      </c>
      <c r="AE86" s="27">
        <f t="shared" ref="AE86:AE94" si="49">IF(P86="사용자항목3",L86,0)</f>
        <v>0</v>
      </c>
      <c r="AF86" s="27">
        <f t="shared" ref="AF86:AF94" si="50">IF(P86="사용자항목4",L86,0)</f>
        <v>0</v>
      </c>
      <c r="AG86" s="27">
        <f t="shared" ref="AG86:AG94" si="51">IF(P86="사용자항목5",L86,0)</f>
        <v>0</v>
      </c>
      <c r="AH86" s="27">
        <f t="shared" ref="AH86:AH94" si="52">IF(P86="사용자항목6",L86,0)</f>
        <v>0</v>
      </c>
      <c r="AI86" s="27">
        <f t="shared" ref="AI86:AI94" si="53">IF(P86="사용자항목7",L86,0)</f>
        <v>0</v>
      </c>
      <c r="AJ86" s="27">
        <f t="shared" ref="AJ86:AJ94" si="54">IF(P86="사용자항목8",L86,0)</f>
        <v>0</v>
      </c>
      <c r="AK86" s="27">
        <f t="shared" ref="AK86:AK94" si="55">IF(P86="사용자항목9",L86,0)</f>
        <v>0</v>
      </c>
    </row>
    <row r="87" spans="1:38" ht="20.100000000000001" customHeight="1">
      <c r="A87" s="103" t="s">
        <v>748</v>
      </c>
      <c r="B87" s="103" t="s">
        <v>590</v>
      </c>
      <c r="C87" s="104" t="s">
        <v>237</v>
      </c>
      <c r="D87" s="105">
        <v>1</v>
      </c>
      <c r="E87" s="106"/>
      <c r="F87" s="106">
        <f t="shared" si="31"/>
        <v>0</v>
      </c>
      <c r="G87" s="106"/>
      <c r="H87" s="106">
        <f t="shared" si="32"/>
        <v>0</v>
      </c>
      <c r="I87" s="106"/>
      <c r="J87" s="106">
        <f t="shared" si="33"/>
        <v>0</v>
      </c>
      <c r="K87" s="106">
        <f t="shared" si="34"/>
        <v>0</v>
      </c>
      <c r="L87" s="106">
        <f t="shared" si="35"/>
        <v>0</v>
      </c>
      <c r="M87" s="108"/>
      <c r="P87" s="31" t="s">
        <v>452</v>
      </c>
      <c r="Q87" s="27">
        <v>1</v>
      </c>
      <c r="R87" s="27">
        <f t="shared" si="36"/>
        <v>0</v>
      </c>
      <c r="S87" s="27">
        <f t="shared" si="37"/>
        <v>0</v>
      </c>
      <c r="T87" s="27">
        <f t="shared" si="38"/>
        <v>0</v>
      </c>
      <c r="U87" s="27">
        <f t="shared" si="39"/>
        <v>0</v>
      </c>
      <c r="V87" s="27">
        <f t="shared" si="40"/>
        <v>0</v>
      </c>
      <c r="W87" s="27">
        <f t="shared" si="41"/>
        <v>0</v>
      </c>
      <c r="X87" s="27">
        <f t="shared" si="42"/>
        <v>0</v>
      </c>
      <c r="Y87" s="27">
        <f t="shared" si="43"/>
        <v>0</v>
      </c>
      <c r="Z87" s="27">
        <f t="shared" si="44"/>
        <v>0</v>
      </c>
      <c r="AA87" s="27">
        <f t="shared" si="45"/>
        <v>0</v>
      </c>
      <c r="AB87" s="27">
        <f t="shared" si="46"/>
        <v>0</v>
      </c>
      <c r="AC87" s="27">
        <f t="shared" si="47"/>
        <v>0</v>
      </c>
      <c r="AD87" s="27">
        <f t="shared" si="48"/>
        <v>0</v>
      </c>
      <c r="AE87" s="27">
        <f t="shared" si="49"/>
        <v>0</v>
      </c>
      <c r="AF87" s="27">
        <f t="shared" si="50"/>
        <v>0</v>
      </c>
      <c r="AG87" s="27">
        <f t="shared" si="51"/>
        <v>0</v>
      </c>
      <c r="AH87" s="27">
        <f t="shared" si="52"/>
        <v>0</v>
      </c>
      <c r="AI87" s="27">
        <f t="shared" si="53"/>
        <v>0</v>
      </c>
      <c r="AJ87" s="27">
        <f t="shared" si="54"/>
        <v>0</v>
      </c>
      <c r="AK87" s="27">
        <f t="shared" si="55"/>
        <v>0</v>
      </c>
    </row>
    <row r="88" spans="1:38" ht="20.100000000000001" customHeight="1">
      <c r="A88" s="103" t="s">
        <v>750</v>
      </c>
      <c r="B88" s="103" t="s">
        <v>590</v>
      </c>
      <c r="C88" s="104" t="s">
        <v>237</v>
      </c>
      <c r="D88" s="105">
        <v>1</v>
      </c>
      <c r="E88" s="106"/>
      <c r="F88" s="106">
        <f t="shared" si="31"/>
        <v>0</v>
      </c>
      <c r="G88" s="106"/>
      <c r="H88" s="106">
        <f t="shared" si="32"/>
        <v>0</v>
      </c>
      <c r="I88" s="106"/>
      <c r="J88" s="106">
        <f t="shared" si="33"/>
        <v>0</v>
      </c>
      <c r="K88" s="106">
        <f t="shared" si="34"/>
        <v>0</v>
      </c>
      <c r="L88" s="106">
        <f t="shared" si="35"/>
        <v>0</v>
      </c>
      <c r="M88" s="108"/>
      <c r="P88" s="31" t="s">
        <v>452</v>
      </c>
      <c r="Q88" s="27">
        <v>1</v>
      </c>
      <c r="R88" s="27">
        <f t="shared" si="36"/>
        <v>0</v>
      </c>
      <c r="S88" s="27">
        <f t="shared" si="37"/>
        <v>0</v>
      </c>
      <c r="T88" s="27">
        <f t="shared" si="38"/>
        <v>0</v>
      </c>
      <c r="U88" s="27">
        <f t="shared" si="39"/>
        <v>0</v>
      </c>
      <c r="V88" s="27">
        <f t="shared" si="40"/>
        <v>0</v>
      </c>
      <c r="W88" s="27">
        <f t="shared" si="41"/>
        <v>0</v>
      </c>
      <c r="X88" s="27">
        <f t="shared" si="42"/>
        <v>0</v>
      </c>
      <c r="Y88" s="27">
        <f t="shared" si="43"/>
        <v>0</v>
      </c>
      <c r="Z88" s="27">
        <f t="shared" si="44"/>
        <v>0</v>
      </c>
      <c r="AA88" s="27">
        <f t="shared" si="45"/>
        <v>0</v>
      </c>
      <c r="AB88" s="27">
        <f t="shared" si="46"/>
        <v>0</v>
      </c>
      <c r="AC88" s="27">
        <f t="shared" si="47"/>
        <v>0</v>
      </c>
      <c r="AD88" s="27">
        <f t="shared" si="48"/>
        <v>0</v>
      </c>
      <c r="AE88" s="27">
        <f t="shared" si="49"/>
        <v>0</v>
      </c>
      <c r="AF88" s="27">
        <f t="shared" si="50"/>
        <v>0</v>
      </c>
      <c r="AG88" s="27">
        <f t="shared" si="51"/>
        <v>0</v>
      </c>
      <c r="AH88" s="27">
        <f t="shared" si="52"/>
        <v>0</v>
      </c>
      <c r="AI88" s="27">
        <f t="shared" si="53"/>
        <v>0</v>
      </c>
      <c r="AJ88" s="27">
        <f t="shared" si="54"/>
        <v>0</v>
      </c>
      <c r="AK88" s="27">
        <f t="shared" si="55"/>
        <v>0</v>
      </c>
    </row>
    <row r="89" spans="1:38" ht="20.100000000000001" customHeight="1">
      <c r="A89" s="103" t="s">
        <v>752</v>
      </c>
      <c r="B89" s="103" t="s">
        <v>593</v>
      </c>
      <c r="C89" s="104" t="s">
        <v>237</v>
      </c>
      <c r="D89" s="105">
        <v>1</v>
      </c>
      <c r="E89" s="106"/>
      <c r="F89" s="106">
        <f t="shared" si="31"/>
        <v>0</v>
      </c>
      <c r="G89" s="106"/>
      <c r="H89" s="106">
        <f t="shared" si="32"/>
        <v>0</v>
      </c>
      <c r="I89" s="106"/>
      <c r="J89" s="106">
        <f t="shared" si="33"/>
        <v>0</v>
      </c>
      <c r="K89" s="106">
        <f t="shared" si="34"/>
        <v>0</v>
      </c>
      <c r="L89" s="106">
        <f t="shared" si="35"/>
        <v>0</v>
      </c>
      <c r="M89" s="108"/>
      <c r="P89" s="31" t="s">
        <v>452</v>
      </c>
      <c r="Q89" s="27">
        <v>1</v>
      </c>
      <c r="R89" s="27">
        <f t="shared" si="36"/>
        <v>0</v>
      </c>
      <c r="S89" s="27">
        <f t="shared" si="37"/>
        <v>0</v>
      </c>
      <c r="T89" s="27">
        <f t="shared" si="38"/>
        <v>0</v>
      </c>
      <c r="U89" s="27">
        <f t="shared" si="39"/>
        <v>0</v>
      </c>
      <c r="V89" s="27">
        <f t="shared" si="40"/>
        <v>0</v>
      </c>
      <c r="W89" s="27">
        <f t="shared" si="41"/>
        <v>0</v>
      </c>
      <c r="X89" s="27">
        <f t="shared" si="42"/>
        <v>0</v>
      </c>
      <c r="Y89" s="27">
        <f t="shared" si="43"/>
        <v>0</v>
      </c>
      <c r="Z89" s="27">
        <f t="shared" si="44"/>
        <v>0</v>
      </c>
      <c r="AA89" s="27">
        <f t="shared" si="45"/>
        <v>0</v>
      </c>
      <c r="AB89" s="27">
        <f t="shared" si="46"/>
        <v>0</v>
      </c>
      <c r="AC89" s="27">
        <f t="shared" si="47"/>
        <v>0</v>
      </c>
      <c r="AD89" s="27">
        <f t="shared" si="48"/>
        <v>0</v>
      </c>
      <c r="AE89" s="27">
        <f t="shared" si="49"/>
        <v>0</v>
      </c>
      <c r="AF89" s="27">
        <f t="shared" si="50"/>
        <v>0</v>
      </c>
      <c r="AG89" s="27">
        <f t="shared" si="51"/>
        <v>0</v>
      </c>
      <c r="AH89" s="27">
        <f t="shared" si="52"/>
        <v>0</v>
      </c>
      <c r="AI89" s="27">
        <f t="shared" si="53"/>
        <v>0</v>
      </c>
      <c r="AJ89" s="27">
        <f t="shared" si="54"/>
        <v>0</v>
      </c>
      <c r="AK89" s="27">
        <f t="shared" si="55"/>
        <v>0</v>
      </c>
    </row>
    <row r="90" spans="1:38" ht="20.100000000000001" customHeight="1">
      <c r="A90" s="103" t="s">
        <v>754</v>
      </c>
      <c r="B90" s="103" t="s">
        <v>595</v>
      </c>
      <c r="C90" s="104" t="s">
        <v>237</v>
      </c>
      <c r="D90" s="105">
        <v>4</v>
      </c>
      <c r="E90" s="106"/>
      <c r="F90" s="106">
        <f t="shared" si="31"/>
        <v>0</v>
      </c>
      <c r="G90" s="106"/>
      <c r="H90" s="106">
        <f t="shared" si="32"/>
        <v>0</v>
      </c>
      <c r="I90" s="106"/>
      <c r="J90" s="106">
        <f t="shared" si="33"/>
        <v>0</v>
      </c>
      <c r="K90" s="106">
        <f t="shared" si="34"/>
        <v>0</v>
      </c>
      <c r="L90" s="106">
        <f t="shared" si="35"/>
        <v>0</v>
      </c>
      <c r="M90" s="108"/>
      <c r="P90" s="31" t="s">
        <v>452</v>
      </c>
      <c r="Q90" s="27">
        <v>1</v>
      </c>
      <c r="R90" s="27">
        <f t="shared" si="36"/>
        <v>0</v>
      </c>
      <c r="S90" s="27">
        <f t="shared" si="37"/>
        <v>0</v>
      </c>
      <c r="T90" s="27">
        <f t="shared" si="38"/>
        <v>0</v>
      </c>
      <c r="U90" s="27">
        <f t="shared" si="39"/>
        <v>0</v>
      </c>
      <c r="V90" s="27">
        <f t="shared" si="40"/>
        <v>0</v>
      </c>
      <c r="W90" s="27">
        <f t="shared" si="41"/>
        <v>0</v>
      </c>
      <c r="X90" s="27">
        <f t="shared" si="42"/>
        <v>0</v>
      </c>
      <c r="Y90" s="27">
        <f t="shared" si="43"/>
        <v>0</v>
      </c>
      <c r="Z90" s="27">
        <f t="shared" si="44"/>
        <v>0</v>
      </c>
      <c r="AA90" s="27">
        <f t="shared" si="45"/>
        <v>0</v>
      </c>
      <c r="AB90" s="27">
        <f t="shared" si="46"/>
        <v>0</v>
      </c>
      <c r="AC90" s="27">
        <f t="shared" si="47"/>
        <v>0</v>
      </c>
      <c r="AD90" s="27">
        <f t="shared" si="48"/>
        <v>0</v>
      </c>
      <c r="AE90" s="27">
        <f t="shared" si="49"/>
        <v>0</v>
      </c>
      <c r="AF90" s="27">
        <f t="shared" si="50"/>
        <v>0</v>
      </c>
      <c r="AG90" s="27">
        <f t="shared" si="51"/>
        <v>0</v>
      </c>
      <c r="AH90" s="27">
        <f t="shared" si="52"/>
        <v>0</v>
      </c>
      <c r="AI90" s="27">
        <f t="shared" si="53"/>
        <v>0</v>
      </c>
      <c r="AJ90" s="27">
        <f t="shared" si="54"/>
        <v>0</v>
      </c>
      <c r="AK90" s="27">
        <f t="shared" si="55"/>
        <v>0</v>
      </c>
    </row>
    <row r="91" spans="1:38" ht="20.100000000000001" customHeight="1">
      <c r="A91" s="103" t="s">
        <v>121</v>
      </c>
      <c r="B91" s="103" t="s">
        <v>122</v>
      </c>
      <c r="C91" s="104" t="s">
        <v>17</v>
      </c>
      <c r="D91" s="105">
        <v>23</v>
      </c>
      <c r="E91" s="106"/>
      <c r="F91" s="106">
        <f t="shared" si="31"/>
        <v>0</v>
      </c>
      <c r="G91" s="106"/>
      <c r="H91" s="106">
        <f t="shared" si="32"/>
        <v>0</v>
      </c>
      <c r="I91" s="106"/>
      <c r="J91" s="106">
        <f t="shared" si="33"/>
        <v>0</v>
      </c>
      <c r="K91" s="106">
        <f t="shared" si="34"/>
        <v>0</v>
      </c>
      <c r="L91" s="106">
        <f t="shared" si="35"/>
        <v>0</v>
      </c>
      <c r="M91" s="107"/>
      <c r="O91" s="31" t="s">
        <v>457</v>
      </c>
      <c r="P91" s="31" t="s">
        <v>452</v>
      </c>
      <c r="Q91" s="27">
        <v>1</v>
      </c>
      <c r="R91" s="27">
        <f t="shared" si="36"/>
        <v>0</v>
      </c>
      <c r="S91" s="27">
        <f t="shared" si="37"/>
        <v>0</v>
      </c>
      <c r="T91" s="27">
        <f t="shared" si="38"/>
        <v>0</v>
      </c>
      <c r="U91" s="27">
        <f t="shared" si="39"/>
        <v>0</v>
      </c>
      <c r="V91" s="27">
        <f t="shared" si="40"/>
        <v>0</v>
      </c>
      <c r="W91" s="27">
        <f t="shared" si="41"/>
        <v>0</v>
      </c>
      <c r="X91" s="27">
        <f t="shared" si="42"/>
        <v>0</v>
      </c>
      <c r="Y91" s="27">
        <f t="shared" si="43"/>
        <v>0</v>
      </c>
      <c r="Z91" s="27">
        <f t="shared" si="44"/>
        <v>0</v>
      </c>
      <c r="AA91" s="27">
        <f t="shared" si="45"/>
        <v>0</v>
      </c>
      <c r="AB91" s="27">
        <f t="shared" si="46"/>
        <v>0</v>
      </c>
      <c r="AC91" s="27">
        <f t="shared" si="47"/>
        <v>0</v>
      </c>
      <c r="AD91" s="27">
        <f t="shared" si="48"/>
        <v>0</v>
      </c>
      <c r="AE91" s="27">
        <f t="shared" si="49"/>
        <v>0</v>
      </c>
      <c r="AF91" s="27">
        <f t="shared" si="50"/>
        <v>0</v>
      </c>
      <c r="AG91" s="27">
        <f t="shared" si="51"/>
        <v>0</v>
      </c>
      <c r="AH91" s="27">
        <f t="shared" si="52"/>
        <v>0</v>
      </c>
      <c r="AI91" s="27">
        <f t="shared" si="53"/>
        <v>0</v>
      </c>
      <c r="AJ91" s="27">
        <f t="shared" si="54"/>
        <v>0</v>
      </c>
      <c r="AK91" s="27">
        <f t="shared" si="55"/>
        <v>0</v>
      </c>
    </row>
    <row r="92" spans="1:38" ht="20.100000000000001" customHeight="1">
      <c r="A92" s="103" t="s">
        <v>270</v>
      </c>
      <c r="B92" s="103" t="s">
        <v>271</v>
      </c>
      <c r="C92" s="104" t="s">
        <v>272</v>
      </c>
      <c r="D92" s="105">
        <v>18</v>
      </c>
      <c r="E92" s="106"/>
      <c r="F92" s="106">
        <f t="shared" si="31"/>
        <v>0</v>
      </c>
      <c r="G92" s="106"/>
      <c r="H92" s="106">
        <f t="shared" si="32"/>
        <v>0</v>
      </c>
      <c r="I92" s="106"/>
      <c r="J92" s="106">
        <f t="shared" si="33"/>
        <v>0</v>
      </c>
      <c r="K92" s="106">
        <f t="shared" si="34"/>
        <v>0</v>
      </c>
      <c r="L92" s="106">
        <f t="shared" si="35"/>
        <v>0</v>
      </c>
      <c r="M92" s="108"/>
      <c r="O92" s="31" t="s">
        <v>457</v>
      </c>
      <c r="P92" s="31" t="s">
        <v>452</v>
      </c>
      <c r="Q92" s="27">
        <v>1</v>
      </c>
      <c r="R92" s="27">
        <f t="shared" si="36"/>
        <v>0</v>
      </c>
      <c r="S92" s="27">
        <f t="shared" si="37"/>
        <v>0</v>
      </c>
      <c r="T92" s="27">
        <f t="shared" si="38"/>
        <v>0</v>
      </c>
      <c r="U92" s="27">
        <f t="shared" si="39"/>
        <v>0</v>
      </c>
      <c r="V92" s="27">
        <f t="shared" si="40"/>
        <v>0</v>
      </c>
      <c r="W92" s="27">
        <f t="shared" si="41"/>
        <v>0</v>
      </c>
      <c r="X92" s="27">
        <f t="shared" si="42"/>
        <v>0</v>
      </c>
      <c r="Y92" s="27">
        <f t="shared" si="43"/>
        <v>0</v>
      </c>
      <c r="Z92" s="27">
        <f t="shared" si="44"/>
        <v>0</v>
      </c>
      <c r="AA92" s="27">
        <f t="shared" si="45"/>
        <v>0</v>
      </c>
      <c r="AB92" s="27">
        <f t="shared" si="46"/>
        <v>0</v>
      </c>
      <c r="AC92" s="27">
        <f t="shared" si="47"/>
        <v>0</v>
      </c>
      <c r="AD92" s="27">
        <f t="shared" si="48"/>
        <v>0</v>
      </c>
      <c r="AE92" s="27">
        <f t="shared" si="49"/>
        <v>0</v>
      </c>
      <c r="AF92" s="27">
        <f t="shared" si="50"/>
        <v>0</v>
      </c>
      <c r="AG92" s="27">
        <f t="shared" si="51"/>
        <v>0</v>
      </c>
      <c r="AH92" s="27">
        <f t="shared" si="52"/>
        <v>0</v>
      </c>
      <c r="AI92" s="27">
        <f t="shared" si="53"/>
        <v>0</v>
      </c>
      <c r="AJ92" s="27">
        <f t="shared" si="54"/>
        <v>0</v>
      </c>
      <c r="AK92" s="27">
        <f t="shared" si="55"/>
        <v>0</v>
      </c>
    </row>
    <row r="93" spans="1:38" ht="20.100000000000001" customHeight="1">
      <c r="A93" s="103" t="s">
        <v>756</v>
      </c>
      <c r="B93" s="103" t="s">
        <v>597</v>
      </c>
      <c r="C93" s="104" t="s">
        <v>34</v>
      </c>
      <c r="D93" s="105">
        <v>38</v>
      </c>
      <c r="E93" s="106"/>
      <c r="F93" s="106">
        <f t="shared" si="31"/>
        <v>0</v>
      </c>
      <c r="G93" s="106"/>
      <c r="H93" s="106">
        <f t="shared" si="32"/>
        <v>0</v>
      </c>
      <c r="I93" s="106"/>
      <c r="J93" s="106">
        <f t="shared" si="33"/>
        <v>0</v>
      </c>
      <c r="K93" s="106">
        <f t="shared" si="34"/>
        <v>0</v>
      </c>
      <c r="L93" s="106">
        <f t="shared" si="35"/>
        <v>0</v>
      </c>
      <c r="M93" s="108"/>
      <c r="P93" s="31" t="s">
        <v>452</v>
      </c>
      <c r="Q93" s="27">
        <v>1</v>
      </c>
      <c r="R93" s="27">
        <f t="shared" si="36"/>
        <v>0</v>
      </c>
      <c r="S93" s="27">
        <f t="shared" si="37"/>
        <v>0</v>
      </c>
      <c r="T93" s="27">
        <f t="shared" si="38"/>
        <v>0</v>
      </c>
      <c r="U93" s="27">
        <f t="shared" si="39"/>
        <v>0</v>
      </c>
      <c r="V93" s="27">
        <f t="shared" si="40"/>
        <v>0</v>
      </c>
      <c r="W93" s="27">
        <f t="shared" si="41"/>
        <v>0</v>
      </c>
      <c r="X93" s="27">
        <f t="shared" si="42"/>
        <v>0</v>
      </c>
      <c r="Y93" s="27">
        <f t="shared" si="43"/>
        <v>0</v>
      </c>
      <c r="Z93" s="27">
        <f t="shared" si="44"/>
        <v>0</v>
      </c>
      <c r="AA93" s="27">
        <f t="shared" si="45"/>
        <v>0</v>
      </c>
      <c r="AB93" s="27">
        <f t="shared" si="46"/>
        <v>0</v>
      </c>
      <c r="AC93" s="27">
        <f t="shared" si="47"/>
        <v>0</v>
      </c>
      <c r="AD93" s="27">
        <f t="shared" si="48"/>
        <v>0</v>
      </c>
      <c r="AE93" s="27">
        <f t="shared" si="49"/>
        <v>0</v>
      </c>
      <c r="AF93" s="27">
        <f t="shared" si="50"/>
        <v>0</v>
      </c>
      <c r="AG93" s="27">
        <f t="shared" si="51"/>
        <v>0</v>
      </c>
      <c r="AH93" s="27">
        <f t="shared" si="52"/>
        <v>0</v>
      </c>
      <c r="AI93" s="27">
        <f t="shared" si="53"/>
        <v>0</v>
      </c>
      <c r="AJ93" s="27">
        <f t="shared" si="54"/>
        <v>0</v>
      </c>
      <c r="AK93" s="27">
        <f t="shared" si="55"/>
        <v>0</v>
      </c>
    </row>
    <row r="94" spans="1:38" ht="20.100000000000001" customHeight="1">
      <c r="A94" s="103" t="s">
        <v>758</v>
      </c>
      <c r="B94" s="103" t="s">
        <v>600</v>
      </c>
      <c r="C94" s="104" t="s">
        <v>34</v>
      </c>
      <c r="D94" s="105">
        <v>7</v>
      </c>
      <c r="E94" s="106"/>
      <c r="F94" s="106">
        <f t="shared" si="31"/>
        <v>0</v>
      </c>
      <c r="G94" s="106"/>
      <c r="H94" s="106">
        <f t="shared" si="32"/>
        <v>0</v>
      </c>
      <c r="I94" s="106"/>
      <c r="J94" s="106">
        <f t="shared" si="33"/>
        <v>0</v>
      </c>
      <c r="K94" s="106">
        <f t="shared" si="34"/>
        <v>0</v>
      </c>
      <c r="L94" s="106">
        <f t="shared" si="35"/>
        <v>0</v>
      </c>
      <c r="M94" s="108"/>
      <c r="P94" s="31" t="s">
        <v>452</v>
      </c>
      <c r="Q94" s="27">
        <v>1</v>
      </c>
      <c r="R94" s="27">
        <f t="shared" si="36"/>
        <v>0</v>
      </c>
      <c r="S94" s="27">
        <f t="shared" si="37"/>
        <v>0</v>
      </c>
      <c r="T94" s="27">
        <f t="shared" si="38"/>
        <v>0</v>
      </c>
      <c r="U94" s="27">
        <f t="shared" si="39"/>
        <v>0</v>
      </c>
      <c r="V94" s="27">
        <f t="shared" si="40"/>
        <v>0</v>
      </c>
      <c r="W94" s="27">
        <f t="shared" si="41"/>
        <v>0</v>
      </c>
      <c r="X94" s="27">
        <f t="shared" si="42"/>
        <v>0</v>
      </c>
      <c r="Y94" s="27">
        <f t="shared" si="43"/>
        <v>0</v>
      </c>
      <c r="Z94" s="27">
        <f t="shared" si="44"/>
        <v>0</v>
      </c>
      <c r="AA94" s="27">
        <f t="shared" si="45"/>
        <v>0</v>
      </c>
      <c r="AB94" s="27">
        <f t="shared" si="46"/>
        <v>0</v>
      </c>
      <c r="AC94" s="27">
        <f t="shared" si="47"/>
        <v>0</v>
      </c>
      <c r="AD94" s="27">
        <f t="shared" si="48"/>
        <v>0</v>
      </c>
      <c r="AE94" s="27">
        <f t="shared" si="49"/>
        <v>0</v>
      </c>
      <c r="AF94" s="27">
        <f t="shared" si="50"/>
        <v>0</v>
      </c>
      <c r="AG94" s="27">
        <f t="shared" si="51"/>
        <v>0</v>
      </c>
      <c r="AH94" s="27">
        <f t="shared" si="52"/>
        <v>0</v>
      </c>
      <c r="AI94" s="27">
        <f t="shared" si="53"/>
        <v>0</v>
      </c>
      <c r="AJ94" s="27">
        <f t="shared" si="54"/>
        <v>0</v>
      </c>
      <c r="AK94" s="27">
        <f t="shared" si="55"/>
        <v>0</v>
      </c>
    </row>
    <row r="95" spans="1:38" ht="20.100000000000001" customHeight="1">
      <c r="A95" s="103" t="s">
        <v>758</v>
      </c>
      <c r="B95" s="103" t="s">
        <v>943</v>
      </c>
      <c r="C95" s="104" t="s">
        <v>34</v>
      </c>
      <c r="D95" s="105">
        <f>INT(19.5*1.8*1.1)</f>
        <v>38</v>
      </c>
      <c r="E95" s="106"/>
      <c r="F95" s="106">
        <f t="shared" ref="F95" si="56">ROUNDDOWN(D95*E95,0)</f>
        <v>0</v>
      </c>
      <c r="G95" s="106"/>
      <c r="H95" s="106">
        <f t="shared" ref="H95" si="57">ROUNDDOWN(D95*G95,0)</f>
        <v>0</v>
      </c>
      <c r="I95" s="106"/>
      <c r="J95" s="106">
        <f t="shared" ref="J95" si="58">ROUNDDOWN(D95*I95,0)</f>
        <v>0</v>
      </c>
      <c r="K95" s="106">
        <f t="shared" ref="K95" si="59">E95+G95+I95</f>
        <v>0</v>
      </c>
      <c r="L95" s="106">
        <f t="shared" ref="L95" si="60">F95+H95+J95</f>
        <v>0</v>
      </c>
      <c r="M95" s="107"/>
    </row>
    <row r="96" spans="1:38" ht="20.100000000000001" customHeight="1">
      <c r="A96" s="103"/>
      <c r="B96" s="103"/>
      <c r="C96" s="104"/>
      <c r="D96" s="107"/>
      <c r="E96" s="107"/>
      <c r="F96" s="107"/>
      <c r="G96" s="107"/>
      <c r="H96" s="107"/>
      <c r="I96" s="107"/>
      <c r="J96" s="107"/>
      <c r="K96" s="107"/>
      <c r="L96" s="107"/>
      <c r="M96" s="107"/>
    </row>
    <row r="97" spans="1:38" ht="20.100000000000001" customHeight="1">
      <c r="A97" s="103"/>
      <c r="B97" s="103"/>
      <c r="C97" s="104"/>
      <c r="D97" s="107"/>
      <c r="E97" s="107"/>
      <c r="F97" s="107"/>
      <c r="G97" s="107"/>
      <c r="H97" s="107"/>
      <c r="I97" s="107"/>
      <c r="J97" s="107"/>
      <c r="K97" s="107"/>
      <c r="L97" s="107"/>
      <c r="M97" s="107"/>
    </row>
    <row r="98" spans="1:38" ht="20.100000000000001" customHeight="1">
      <c r="A98" s="103"/>
      <c r="B98" s="103"/>
      <c r="C98" s="104"/>
      <c r="D98" s="107"/>
      <c r="E98" s="107"/>
      <c r="F98" s="107"/>
      <c r="G98" s="107"/>
      <c r="H98" s="107"/>
      <c r="I98" s="107"/>
      <c r="J98" s="107"/>
      <c r="K98" s="107"/>
      <c r="L98" s="107"/>
      <c r="M98" s="107"/>
    </row>
    <row r="99" spans="1:38" ht="20.100000000000001" customHeight="1">
      <c r="A99" s="103"/>
      <c r="B99" s="103"/>
      <c r="C99" s="104"/>
      <c r="D99" s="107"/>
      <c r="E99" s="107"/>
      <c r="F99" s="107"/>
      <c r="G99" s="107"/>
      <c r="H99" s="107"/>
      <c r="I99" s="107"/>
      <c r="J99" s="107"/>
      <c r="K99" s="107"/>
      <c r="L99" s="107"/>
      <c r="M99" s="107"/>
    </row>
    <row r="100" spans="1:38" ht="20.100000000000001" customHeight="1">
      <c r="A100" s="103"/>
      <c r="B100" s="103"/>
      <c r="C100" s="104"/>
      <c r="D100" s="107"/>
      <c r="E100" s="107"/>
      <c r="F100" s="107"/>
      <c r="G100" s="107"/>
      <c r="H100" s="107"/>
      <c r="I100" s="107"/>
      <c r="J100" s="107"/>
      <c r="K100" s="107"/>
      <c r="L100" s="107"/>
      <c r="M100" s="107"/>
    </row>
    <row r="101" spans="1:38" ht="20.100000000000001" customHeight="1">
      <c r="A101" s="103"/>
      <c r="B101" s="103"/>
      <c r="C101" s="104"/>
      <c r="D101" s="107"/>
      <c r="E101" s="107"/>
      <c r="F101" s="107"/>
      <c r="G101" s="107"/>
      <c r="H101" s="107"/>
      <c r="I101" s="107"/>
      <c r="J101" s="107"/>
      <c r="K101" s="107"/>
      <c r="L101" s="107"/>
      <c r="M101" s="107"/>
    </row>
    <row r="102" spans="1:38" ht="20.100000000000001" customHeight="1">
      <c r="A102" s="103"/>
      <c r="B102" s="103"/>
      <c r="C102" s="104"/>
      <c r="D102" s="107"/>
      <c r="E102" s="107"/>
      <c r="F102" s="107"/>
      <c r="G102" s="107"/>
      <c r="H102" s="107"/>
      <c r="I102" s="107"/>
      <c r="J102" s="107"/>
      <c r="K102" s="107"/>
      <c r="L102" s="107"/>
      <c r="M102" s="107"/>
    </row>
    <row r="103" spans="1:38" ht="20.100000000000001" customHeight="1">
      <c r="A103" s="103"/>
      <c r="B103" s="103"/>
      <c r="C103" s="104"/>
      <c r="D103" s="107"/>
      <c r="E103" s="107"/>
      <c r="F103" s="107"/>
      <c r="G103" s="107"/>
      <c r="H103" s="107"/>
      <c r="I103" s="107"/>
      <c r="J103" s="107"/>
      <c r="K103" s="107"/>
      <c r="L103" s="107"/>
      <c r="M103" s="107"/>
    </row>
    <row r="104" spans="1:38" ht="20.100000000000001" customHeight="1">
      <c r="A104" s="124" t="s">
        <v>930</v>
      </c>
      <c r="B104" s="119"/>
      <c r="C104" s="120"/>
      <c r="D104" s="121"/>
      <c r="E104" s="122"/>
      <c r="F104" s="122">
        <f>SUM(F86:F103)</f>
        <v>0</v>
      </c>
      <c r="G104" s="122"/>
      <c r="H104" s="122">
        <f>SUM(H86:H103)</f>
        <v>0</v>
      </c>
      <c r="I104" s="122"/>
      <c r="J104" s="122">
        <f>SUM(J86:J103)</f>
        <v>0</v>
      </c>
      <c r="K104" s="122"/>
      <c r="L104" s="122">
        <f>F104+H104+J104</f>
        <v>0</v>
      </c>
      <c r="M104" s="121"/>
      <c r="R104" s="27">
        <f>SUM($R$85:$R$103)</f>
        <v>0</v>
      </c>
      <c r="S104" s="27">
        <f>SUM($S$85:$S$103)</f>
        <v>0</v>
      </c>
      <c r="T104" s="27">
        <f>SUM($T$85:$T$103)</f>
        <v>0</v>
      </c>
      <c r="U104" s="27">
        <f>SUM($U$85:$U$103)</f>
        <v>0</v>
      </c>
      <c r="V104" s="27">
        <f>SUM($V$85:$V$103)</f>
        <v>0</v>
      </c>
      <c r="W104" s="27">
        <f>SUM($W$85:$W$103)</f>
        <v>0</v>
      </c>
      <c r="X104" s="27">
        <f>SUM($X$85:$X$103)</f>
        <v>0</v>
      </c>
      <c r="Y104" s="27">
        <f>SUM($Y$85:$Y$103)</f>
        <v>0</v>
      </c>
      <c r="Z104" s="27">
        <f>SUM($Z$85:$Z$103)</f>
        <v>0</v>
      </c>
      <c r="AA104" s="27">
        <f>SUM($AA$85:$AA$103)</f>
        <v>0</v>
      </c>
      <c r="AB104" s="27">
        <f>SUM($AB$85:$AB$103)</f>
        <v>0</v>
      </c>
      <c r="AC104" s="27">
        <f>SUM($AC$85:$AC$103)</f>
        <v>0</v>
      </c>
      <c r="AD104" s="27">
        <f>SUM($AD$85:$AD$103)</f>
        <v>0</v>
      </c>
      <c r="AE104" s="27">
        <f>SUM($AE$85:$AE$103)</f>
        <v>0</v>
      </c>
      <c r="AF104" s="27">
        <f>SUM($AF$85:$AF$103)</f>
        <v>0</v>
      </c>
      <c r="AG104" s="27">
        <f>SUM($AG$85:$AG$103)</f>
        <v>0</v>
      </c>
      <c r="AH104" s="27">
        <f>SUM($AH$85:$AH$103)</f>
        <v>0</v>
      </c>
      <c r="AI104" s="27">
        <f>SUM($AI$85:$AI$103)</f>
        <v>0</v>
      </c>
      <c r="AJ104" s="27">
        <f>SUM($AJ$85:$AJ$103)</f>
        <v>0</v>
      </c>
      <c r="AK104" s="27">
        <f>SUM($AK$85:$AK$103)</f>
        <v>0</v>
      </c>
      <c r="AL104" s="27">
        <f>SUM($AL$85:$AL$103)</f>
        <v>0</v>
      </c>
    </row>
    <row r="105" spans="1:38" ht="20.100000000000001" customHeight="1">
      <c r="A105" s="64" t="s">
        <v>843</v>
      </c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118"/>
    </row>
    <row r="106" spans="1:38" ht="20.100000000000001" customHeight="1">
      <c r="A106" s="103" t="s">
        <v>99</v>
      </c>
      <c r="B106" s="103" t="s">
        <v>100</v>
      </c>
      <c r="C106" s="104" t="s">
        <v>26</v>
      </c>
      <c r="D106" s="105">
        <v>39</v>
      </c>
      <c r="E106" s="106"/>
      <c r="F106" s="106">
        <f>ROUNDDOWN(D106*E106,0)</f>
        <v>0</v>
      </c>
      <c r="G106" s="106"/>
      <c r="H106" s="106">
        <f>ROUNDDOWN(D106*G106,0)</f>
        <v>0</v>
      </c>
      <c r="I106" s="106"/>
      <c r="J106" s="106">
        <f>ROUNDDOWN(D106*I106,0)</f>
        <v>0</v>
      </c>
      <c r="K106" s="106">
        <f t="shared" ref="K106:L108" si="61">E106+G106+I106</f>
        <v>0</v>
      </c>
      <c r="L106" s="106">
        <f t="shared" si="61"/>
        <v>0</v>
      </c>
      <c r="M106" s="107"/>
      <c r="O106" s="31" t="s">
        <v>457</v>
      </c>
      <c r="P106" s="31" t="s">
        <v>452</v>
      </c>
      <c r="Q106" s="27">
        <v>1</v>
      </c>
      <c r="R106" s="27">
        <f>IF(P106="기계경비",J106,0)</f>
        <v>0</v>
      </c>
      <c r="S106" s="27">
        <f>IF(P106="운반비",J106,0)</f>
        <v>0</v>
      </c>
      <c r="T106" s="27">
        <f>IF(P106="작업부산물",F106,0)</f>
        <v>0</v>
      </c>
      <c r="U106" s="27">
        <f>IF(P106="관급",ROUNDDOWN(D106*E106,0),0)+IF(P106="지급",ROUNDDOWN(D106*E106,0),0)</f>
        <v>0</v>
      </c>
      <c r="V106" s="27">
        <f>IF(P106="외주비",F106+H106+J106,0)</f>
        <v>0</v>
      </c>
      <c r="W106" s="27">
        <f>IF(P106="장비비",F106+H106+J106,0)</f>
        <v>0</v>
      </c>
      <c r="X106" s="27">
        <f>IF(P106="폐기물처리비",J106,0)</f>
        <v>0</v>
      </c>
      <c r="Y106" s="27">
        <f>IF(P106="가설비",J106,0)</f>
        <v>0</v>
      </c>
      <c r="Z106" s="27">
        <f>IF(P106="잡비제외분",F106,0)</f>
        <v>0</v>
      </c>
      <c r="AA106" s="27">
        <f>IF(P106="사급자재대",L106,0)</f>
        <v>0</v>
      </c>
      <c r="AB106" s="27">
        <f>IF(P106="관급자재대",L106,0)</f>
        <v>0</v>
      </c>
      <c r="AC106" s="27">
        <f>IF(P106="사용자항목1",L106,0)</f>
        <v>0</v>
      </c>
      <c r="AD106" s="27">
        <f>IF(P106="사용자항목2",L106,0)</f>
        <v>0</v>
      </c>
      <c r="AE106" s="27">
        <f>IF(P106="사용자항목3",L106,0)</f>
        <v>0</v>
      </c>
      <c r="AF106" s="27">
        <f>IF(P106="사용자항목4",L106,0)</f>
        <v>0</v>
      </c>
      <c r="AG106" s="27">
        <f>IF(P106="사용자항목5",L106,0)</f>
        <v>0</v>
      </c>
      <c r="AH106" s="27">
        <f>IF(P106="사용자항목6",L106,0)</f>
        <v>0</v>
      </c>
      <c r="AI106" s="27">
        <f>IF(P106="사용자항목7",L106,0)</f>
        <v>0</v>
      </c>
      <c r="AJ106" s="27">
        <f>IF(P106="사용자항목8",L106,0)</f>
        <v>0</v>
      </c>
      <c r="AK106" s="27">
        <f>IF(P106="사용자항목9",L106,0)</f>
        <v>0</v>
      </c>
    </row>
    <row r="107" spans="1:38" ht="20.100000000000001" customHeight="1">
      <c r="A107" s="103" t="s">
        <v>760</v>
      </c>
      <c r="B107" s="103" t="s">
        <v>610</v>
      </c>
      <c r="C107" s="104" t="s">
        <v>26</v>
      </c>
      <c r="D107" s="105">
        <v>39</v>
      </c>
      <c r="E107" s="106"/>
      <c r="F107" s="106">
        <f>ROUNDDOWN(D107*E107,0)</f>
        <v>0</v>
      </c>
      <c r="G107" s="106"/>
      <c r="H107" s="106">
        <f>ROUNDDOWN(D107*G107,0)</f>
        <v>0</v>
      </c>
      <c r="I107" s="106"/>
      <c r="J107" s="106">
        <f>ROUNDDOWN(D107*I107,0)</f>
        <v>0</v>
      </c>
      <c r="K107" s="106">
        <f t="shared" si="61"/>
        <v>0</v>
      </c>
      <c r="L107" s="106">
        <f t="shared" si="61"/>
        <v>0</v>
      </c>
      <c r="M107" s="108"/>
      <c r="P107" s="31" t="s">
        <v>452</v>
      </c>
      <c r="Q107" s="27">
        <v>1</v>
      </c>
      <c r="R107" s="27">
        <f>IF(P107="기계경비",J107,0)</f>
        <v>0</v>
      </c>
      <c r="S107" s="27">
        <f>IF(P107="운반비",J107,0)</f>
        <v>0</v>
      </c>
      <c r="T107" s="27">
        <f>IF(P107="작업부산물",F107,0)</f>
        <v>0</v>
      </c>
      <c r="U107" s="27">
        <f>IF(P107="관급",ROUNDDOWN(D107*E107,0),0)+IF(P107="지급",ROUNDDOWN(D107*E107,0),0)</f>
        <v>0</v>
      </c>
      <c r="V107" s="27">
        <f>IF(P107="외주비",F107+H107+J107,0)</f>
        <v>0</v>
      </c>
      <c r="W107" s="27">
        <f>IF(P107="장비비",F107+H107+J107,0)</f>
        <v>0</v>
      </c>
      <c r="X107" s="27">
        <f>IF(P107="폐기물처리비",J107,0)</f>
        <v>0</v>
      </c>
      <c r="Y107" s="27">
        <f>IF(P107="가설비",J107,0)</f>
        <v>0</v>
      </c>
      <c r="Z107" s="27">
        <f>IF(P107="잡비제외분",F107,0)</f>
        <v>0</v>
      </c>
      <c r="AA107" s="27">
        <f>IF(P107="사급자재대",L107,0)</f>
        <v>0</v>
      </c>
      <c r="AB107" s="27">
        <f>IF(P107="관급자재대",L107,0)</f>
        <v>0</v>
      </c>
      <c r="AC107" s="27">
        <f>IF(P107="사용자항목1",L107,0)</f>
        <v>0</v>
      </c>
      <c r="AD107" s="27">
        <f>IF(P107="사용자항목2",L107,0)</f>
        <v>0</v>
      </c>
      <c r="AE107" s="27">
        <f>IF(P107="사용자항목3",L107,0)</f>
        <v>0</v>
      </c>
      <c r="AF107" s="27">
        <f>IF(P107="사용자항목4",L107,0)</f>
        <v>0</v>
      </c>
      <c r="AG107" s="27">
        <f>IF(P107="사용자항목5",L107,0)</f>
        <v>0</v>
      </c>
      <c r="AH107" s="27">
        <f>IF(P107="사용자항목6",L107,0)</f>
        <v>0</v>
      </c>
      <c r="AI107" s="27">
        <f>IF(P107="사용자항목7",L107,0)</f>
        <v>0</v>
      </c>
      <c r="AJ107" s="27">
        <f>IF(P107="사용자항목8",L107,0)</f>
        <v>0</v>
      </c>
      <c r="AK107" s="27">
        <f>IF(P107="사용자항목9",L107,0)</f>
        <v>0</v>
      </c>
    </row>
    <row r="108" spans="1:38" ht="20.100000000000001" customHeight="1">
      <c r="A108" s="103" t="s">
        <v>762</v>
      </c>
      <c r="B108" s="103" t="s">
        <v>613</v>
      </c>
      <c r="C108" s="104" t="s">
        <v>34</v>
      </c>
      <c r="D108" s="105">
        <v>560</v>
      </c>
      <c r="E108" s="106"/>
      <c r="F108" s="106">
        <f>ROUNDDOWN(D108*E108,0)</f>
        <v>0</v>
      </c>
      <c r="G108" s="106"/>
      <c r="H108" s="106">
        <f>ROUNDDOWN(D108*G108,0)</f>
        <v>0</v>
      </c>
      <c r="I108" s="106"/>
      <c r="J108" s="106">
        <f>ROUNDDOWN(D108*I108,0)</f>
        <v>0</v>
      </c>
      <c r="K108" s="106">
        <f t="shared" si="61"/>
        <v>0</v>
      </c>
      <c r="L108" s="106">
        <f t="shared" si="61"/>
        <v>0</v>
      </c>
      <c r="M108" s="108"/>
      <c r="P108" s="31" t="s">
        <v>452</v>
      </c>
      <c r="Q108" s="27">
        <v>1</v>
      </c>
      <c r="R108" s="27">
        <f>IF(P108="기계경비",J108,0)</f>
        <v>0</v>
      </c>
      <c r="S108" s="27">
        <f>IF(P108="운반비",J108,0)</f>
        <v>0</v>
      </c>
      <c r="T108" s="27">
        <f>IF(P108="작업부산물",F108,0)</f>
        <v>0</v>
      </c>
      <c r="U108" s="27">
        <f>IF(P108="관급",ROUNDDOWN(D108*E108,0),0)+IF(P108="지급",ROUNDDOWN(D108*E108,0),0)</f>
        <v>0</v>
      </c>
      <c r="V108" s="27">
        <f>IF(P108="외주비",F108+H108+J108,0)</f>
        <v>0</v>
      </c>
      <c r="W108" s="27">
        <f>IF(P108="장비비",F108+H108+J108,0)</f>
        <v>0</v>
      </c>
      <c r="X108" s="27">
        <f>IF(P108="폐기물처리비",J108,0)</f>
        <v>0</v>
      </c>
      <c r="Y108" s="27">
        <f>IF(P108="가설비",J108,0)</f>
        <v>0</v>
      </c>
      <c r="Z108" s="27">
        <f>IF(P108="잡비제외분",F108,0)</f>
        <v>0</v>
      </c>
      <c r="AA108" s="27">
        <f>IF(P108="사급자재대",L108,0)</f>
        <v>0</v>
      </c>
      <c r="AB108" s="27">
        <f>IF(P108="관급자재대",L108,0)</f>
        <v>0</v>
      </c>
      <c r="AC108" s="27">
        <f>IF(P108="사용자항목1",L108,0)</f>
        <v>0</v>
      </c>
      <c r="AD108" s="27">
        <f>IF(P108="사용자항목2",L108,0)</f>
        <v>0</v>
      </c>
      <c r="AE108" s="27">
        <f>IF(P108="사용자항목3",L108,0)</f>
        <v>0</v>
      </c>
      <c r="AF108" s="27">
        <f>IF(P108="사용자항목4",L108,0)</f>
        <v>0</v>
      </c>
      <c r="AG108" s="27">
        <f>IF(P108="사용자항목5",L108,0)</f>
        <v>0</v>
      </c>
      <c r="AH108" s="27">
        <f>IF(P108="사용자항목6",L108,0)</f>
        <v>0</v>
      </c>
      <c r="AI108" s="27">
        <f>IF(P108="사용자항목7",L108,0)</f>
        <v>0</v>
      </c>
      <c r="AJ108" s="27">
        <f>IF(P108="사용자항목8",L108,0)</f>
        <v>0</v>
      </c>
      <c r="AK108" s="27">
        <f>IF(P108="사용자항목9",L108,0)</f>
        <v>0</v>
      </c>
    </row>
    <row r="109" spans="1:38" ht="20.100000000000001" customHeight="1">
      <c r="A109" s="103"/>
      <c r="B109" s="103"/>
      <c r="C109" s="104"/>
      <c r="D109" s="107"/>
      <c r="E109" s="107"/>
      <c r="F109" s="107"/>
      <c r="G109" s="107"/>
      <c r="H109" s="107"/>
      <c r="I109" s="107"/>
      <c r="J109" s="107"/>
      <c r="K109" s="107"/>
      <c r="L109" s="107"/>
      <c r="M109" s="107"/>
    </row>
    <row r="110" spans="1:38" ht="20.100000000000001" customHeight="1">
      <c r="A110" s="103"/>
      <c r="B110" s="103"/>
      <c r="C110" s="104"/>
      <c r="D110" s="107"/>
      <c r="E110" s="107"/>
      <c r="F110" s="107"/>
      <c r="G110" s="107"/>
      <c r="H110" s="107"/>
      <c r="I110" s="107"/>
      <c r="J110" s="107"/>
      <c r="K110" s="107"/>
      <c r="L110" s="107"/>
      <c r="M110" s="107"/>
    </row>
    <row r="111" spans="1:38" ht="20.100000000000001" customHeight="1">
      <c r="A111" s="103"/>
      <c r="B111" s="103"/>
      <c r="C111" s="104"/>
      <c r="D111" s="107"/>
      <c r="E111" s="107"/>
      <c r="F111" s="107"/>
      <c r="G111" s="107"/>
      <c r="H111" s="107"/>
      <c r="I111" s="107"/>
      <c r="J111" s="107"/>
      <c r="K111" s="107"/>
      <c r="L111" s="107"/>
      <c r="M111" s="107"/>
    </row>
    <row r="112" spans="1:38" ht="20.100000000000001" customHeight="1">
      <c r="A112" s="103"/>
      <c r="B112" s="103"/>
      <c r="C112" s="104"/>
      <c r="D112" s="107"/>
      <c r="E112" s="107"/>
      <c r="F112" s="107"/>
      <c r="G112" s="107"/>
      <c r="H112" s="107"/>
      <c r="I112" s="107"/>
      <c r="J112" s="107"/>
      <c r="K112" s="107"/>
      <c r="L112" s="107"/>
      <c r="M112" s="107"/>
    </row>
    <row r="113" spans="1:38" ht="20.100000000000001" customHeight="1">
      <c r="A113" s="103"/>
      <c r="B113" s="103"/>
      <c r="C113" s="104"/>
      <c r="D113" s="107"/>
      <c r="E113" s="107"/>
      <c r="F113" s="107"/>
      <c r="G113" s="107"/>
      <c r="H113" s="107"/>
      <c r="I113" s="107"/>
      <c r="J113" s="107"/>
      <c r="K113" s="107"/>
      <c r="L113" s="107"/>
      <c r="M113" s="107"/>
    </row>
    <row r="114" spans="1:38" ht="20.100000000000001" customHeight="1">
      <c r="A114" s="103"/>
      <c r="B114" s="103"/>
      <c r="C114" s="104"/>
      <c r="D114" s="107"/>
      <c r="E114" s="107"/>
      <c r="F114" s="107"/>
      <c r="G114" s="107"/>
      <c r="H114" s="107"/>
      <c r="I114" s="107"/>
      <c r="J114" s="107"/>
      <c r="K114" s="107"/>
      <c r="L114" s="107"/>
      <c r="M114" s="107"/>
    </row>
    <row r="115" spans="1:38" ht="20.100000000000001" customHeight="1">
      <c r="A115" s="103"/>
      <c r="B115" s="103"/>
      <c r="C115" s="104"/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</row>
    <row r="116" spans="1:38" ht="20.100000000000001" customHeight="1">
      <c r="A116" s="103"/>
      <c r="B116" s="103"/>
      <c r="C116" s="104"/>
      <c r="D116" s="107"/>
      <c r="E116" s="107"/>
      <c r="F116" s="107"/>
      <c r="G116" s="107"/>
      <c r="H116" s="107"/>
      <c r="I116" s="107"/>
      <c r="J116" s="107"/>
      <c r="K116" s="107"/>
      <c r="L116" s="107"/>
      <c r="M116" s="107"/>
    </row>
    <row r="117" spans="1:38" ht="20.100000000000001" customHeight="1">
      <c r="A117" s="103"/>
      <c r="B117" s="103"/>
      <c r="C117" s="104"/>
      <c r="D117" s="107"/>
      <c r="E117" s="107"/>
      <c r="F117" s="107"/>
      <c r="G117" s="107"/>
      <c r="H117" s="107"/>
      <c r="I117" s="107"/>
      <c r="J117" s="107"/>
      <c r="K117" s="107"/>
      <c r="L117" s="107"/>
      <c r="M117" s="107"/>
    </row>
    <row r="118" spans="1:38" ht="20.100000000000001" customHeight="1">
      <c r="A118" s="103"/>
      <c r="B118" s="103"/>
      <c r="C118" s="104"/>
      <c r="D118" s="107"/>
      <c r="E118" s="107"/>
      <c r="F118" s="107"/>
      <c r="G118" s="107"/>
      <c r="H118" s="107"/>
      <c r="I118" s="107"/>
      <c r="J118" s="107"/>
      <c r="K118" s="107"/>
      <c r="L118" s="107"/>
      <c r="M118" s="107"/>
    </row>
    <row r="119" spans="1:38" ht="20.100000000000001" customHeight="1">
      <c r="A119" s="103"/>
      <c r="B119" s="103"/>
      <c r="C119" s="104"/>
      <c r="D119" s="107"/>
      <c r="E119" s="107"/>
      <c r="F119" s="107"/>
      <c r="G119" s="107"/>
      <c r="H119" s="107"/>
      <c r="I119" s="107"/>
      <c r="J119" s="107"/>
      <c r="K119" s="107"/>
      <c r="L119" s="107"/>
      <c r="M119" s="107"/>
    </row>
    <row r="120" spans="1:38" ht="20.100000000000001" customHeight="1">
      <c r="A120" s="103"/>
      <c r="B120" s="103"/>
      <c r="C120" s="104"/>
      <c r="D120" s="107"/>
      <c r="E120" s="107"/>
      <c r="F120" s="107"/>
      <c r="G120" s="107"/>
      <c r="H120" s="107"/>
      <c r="I120" s="107"/>
      <c r="J120" s="107"/>
      <c r="K120" s="107"/>
      <c r="L120" s="107"/>
      <c r="M120" s="107"/>
    </row>
    <row r="121" spans="1:38" ht="20.100000000000001" customHeight="1">
      <c r="A121" s="103"/>
      <c r="B121" s="103"/>
      <c r="C121" s="104"/>
      <c r="D121" s="107"/>
      <c r="E121" s="107"/>
      <c r="F121" s="107"/>
      <c r="G121" s="107"/>
      <c r="H121" s="107"/>
      <c r="I121" s="107"/>
      <c r="J121" s="107"/>
      <c r="K121" s="107"/>
      <c r="L121" s="107"/>
      <c r="M121" s="107"/>
    </row>
    <row r="122" spans="1:38" ht="20.100000000000001" customHeight="1">
      <c r="A122" s="103"/>
      <c r="B122" s="103"/>
      <c r="C122" s="104"/>
      <c r="D122" s="107"/>
      <c r="E122" s="107"/>
      <c r="F122" s="107"/>
      <c r="G122" s="107"/>
      <c r="H122" s="107"/>
      <c r="I122" s="107"/>
      <c r="J122" s="107"/>
      <c r="K122" s="107"/>
      <c r="L122" s="107"/>
      <c r="M122" s="107"/>
    </row>
    <row r="123" spans="1:38" ht="20.100000000000001" customHeight="1">
      <c r="A123" s="103"/>
      <c r="B123" s="103"/>
      <c r="C123" s="104"/>
      <c r="D123" s="107"/>
      <c r="E123" s="107"/>
      <c r="F123" s="107"/>
      <c r="G123" s="107"/>
      <c r="H123" s="107"/>
      <c r="I123" s="107"/>
      <c r="J123" s="107"/>
      <c r="K123" s="107"/>
      <c r="L123" s="107"/>
      <c r="M123" s="107"/>
    </row>
    <row r="124" spans="1:38" ht="20.100000000000001" customHeight="1">
      <c r="A124" s="124" t="s">
        <v>930</v>
      </c>
      <c r="B124" s="119"/>
      <c r="C124" s="120"/>
      <c r="D124" s="121"/>
      <c r="E124" s="122"/>
      <c r="F124" s="122">
        <f>SUMIF($Q$105:$Q$123, 1,$F$105:$F$123)</f>
        <v>0</v>
      </c>
      <c r="G124" s="122"/>
      <c r="H124" s="122">
        <f>SUMIF($Q$105:$Q$123, 1,$H$105:$H$123)</f>
        <v>0</v>
      </c>
      <c r="I124" s="122"/>
      <c r="J124" s="122">
        <f>SUMIF($Q$105:$Q$123, 1,$J$105:$J$123)</f>
        <v>0</v>
      </c>
      <c r="K124" s="122"/>
      <c r="L124" s="122">
        <f>F124+H124+J124</f>
        <v>0</v>
      </c>
      <c r="M124" s="121"/>
      <c r="R124" s="27">
        <f>SUM($R$105:$R$123)</f>
        <v>0</v>
      </c>
      <c r="S124" s="27">
        <f>SUM($S$105:$S$123)</f>
        <v>0</v>
      </c>
      <c r="T124" s="27">
        <f>SUM($T$105:$T$123)</f>
        <v>0</v>
      </c>
      <c r="U124" s="27">
        <f>SUM($U$105:$U$123)</f>
        <v>0</v>
      </c>
      <c r="V124" s="27">
        <f>SUM($V$105:$V$123)</f>
        <v>0</v>
      </c>
      <c r="W124" s="27">
        <f>SUM($W$105:$W$123)</f>
        <v>0</v>
      </c>
      <c r="X124" s="27">
        <f>SUM($X$105:$X$123)</f>
        <v>0</v>
      </c>
      <c r="Y124" s="27">
        <f>SUM($Y$105:$Y$123)</f>
        <v>0</v>
      </c>
      <c r="Z124" s="27">
        <f>SUM($Z$105:$Z$123)</f>
        <v>0</v>
      </c>
      <c r="AA124" s="27">
        <f>SUM($AA$105:$AA$123)</f>
        <v>0</v>
      </c>
      <c r="AB124" s="27">
        <f>SUM($AB$105:$AB$123)</f>
        <v>0</v>
      </c>
      <c r="AC124" s="27">
        <f>SUM($AC$105:$AC$123)</f>
        <v>0</v>
      </c>
      <c r="AD124" s="27">
        <f>SUM($AD$105:$AD$123)</f>
        <v>0</v>
      </c>
      <c r="AE124" s="27">
        <f>SUM($AE$105:$AE$123)</f>
        <v>0</v>
      </c>
      <c r="AF124" s="27">
        <f>SUM($AF$105:$AF$123)</f>
        <v>0</v>
      </c>
      <c r="AG124" s="27">
        <f>SUM($AG$105:$AG$123)</f>
        <v>0</v>
      </c>
      <c r="AH124" s="27">
        <f>SUM($AH$105:$AH$123)</f>
        <v>0</v>
      </c>
      <c r="AI124" s="27">
        <f>SUM($AI$105:$AI$123)</f>
        <v>0</v>
      </c>
      <c r="AJ124" s="27">
        <f>SUM($AJ$105:$AJ$123)</f>
        <v>0</v>
      </c>
      <c r="AK124" s="27">
        <f>SUM($AK$105:$AK$123)</f>
        <v>0</v>
      </c>
      <c r="AL124" s="27">
        <f>SUM($AL$105:$AL$123)</f>
        <v>0</v>
      </c>
    </row>
    <row r="125" spans="1:38" ht="19.5" customHeight="1">
      <c r="A125" s="64" t="s">
        <v>844</v>
      </c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118"/>
    </row>
    <row r="126" spans="1:38" ht="19.5" customHeight="1">
      <c r="A126" s="103" t="s">
        <v>51</v>
      </c>
      <c r="B126" s="103" t="s">
        <v>52</v>
      </c>
      <c r="C126" s="104" t="s">
        <v>26</v>
      </c>
      <c r="D126" s="105">
        <v>10</v>
      </c>
      <c r="E126" s="106"/>
      <c r="F126" s="106">
        <f t="shared" ref="F126:F143" si="62">ROUNDDOWN(D126*E126,0)</f>
        <v>0</v>
      </c>
      <c r="G126" s="106"/>
      <c r="H126" s="106">
        <f t="shared" ref="H126:H143" si="63">ROUNDDOWN(D126*G126,0)</f>
        <v>0</v>
      </c>
      <c r="I126" s="106"/>
      <c r="J126" s="106">
        <f t="shared" ref="J126:J143" si="64">ROUNDDOWN(D126*I126,0)</f>
        <v>0</v>
      </c>
      <c r="K126" s="106">
        <f t="shared" ref="K126:K143" si="65">E126+G126+I126</f>
        <v>0</v>
      </c>
      <c r="L126" s="106">
        <f t="shared" ref="L126:L143" si="66">F126+H126+J126</f>
        <v>0</v>
      </c>
      <c r="M126" s="107"/>
      <c r="O126" s="31" t="s">
        <v>457</v>
      </c>
      <c r="P126" s="31" t="s">
        <v>452</v>
      </c>
      <c r="Q126" s="27">
        <v>1</v>
      </c>
      <c r="R126" s="27">
        <f t="shared" ref="R126:R143" si="67">IF(P126="기계경비",J126,0)</f>
        <v>0</v>
      </c>
      <c r="S126" s="27">
        <f t="shared" ref="S126:S143" si="68">IF(P126="운반비",J126,0)</f>
        <v>0</v>
      </c>
      <c r="T126" s="27">
        <f t="shared" ref="T126:T143" si="69">IF(P126="작업부산물",F126,0)</f>
        <v>0</v>
      </c>
      <c r="U126" s="27">
        <f t="shared" ref="U126:U143" si="70">IF(P126="관급",ROUNDDOWN(D126*E126,0),0)+IF(P126="지급",ROUNDDOWN(D126*E126,0),0)</f>
        <v>0</v>
      </c>
      <c r="V126" s="27">
        <f t="shared" ref="V126:V143" si="71">IF(P126="외주비",F126+H126+J126,0)</f>
        <v>0</v>
      </c>
      <c r="W126" s="27">
        <f t="shared" ref="W126:W143" si="72">IF(P126="장비비",F126+H126+J126,0)</f>
        <v>0</v>
      </c>
      <c r="X126" s="27">
        <f t="shared" ref="X126:X143" si="73">IF(P126="폐기물처리비",J126,0)</f>
        <v>0</v>
      </c>
      <c r="Y126" s="27">
        <f t="shared" ref="Y126:Y143" si="74">IF(P126="가설비",J126,0)</f>
        <v>0</v>
      </c>
      <c r="Z126" s="27">
        <f t="shared" ref="Z126:Z143" si="75">IF(P126="잡비제외분",F126,0)</f>
        <v>0</v>
      </c>
      <c r="AA126" s="27">
        <f t="shared" ref="AA126:AA143" si="76">IF(P126="사급자재대",L126,0)</f>
        <v>0</v>
      </c>
      <c r="AB126" s="27">
        <f t="shared" ref="AB126:AB143" si="77">IF(P126="관급자재대",L126,0)</f>
        <v>0</v>
      </c>
      <c r="AC126" s="27">
        <f t="shared" ref="AC126:AC143" si="78">IF(P126="사용자항목1",L126,0)</f>
        <v>0</v>
      </c>
      <c r="AD126" s="27">
        <f t="shared" ref="AD126:AD143" si="79">IF(P126="사용자항목2",L126,0)</f>
        <v>0</v>
      </c>
      <c r="AE126" s="27">
        <f t="shared" ref="AE126:AE143" si="80">IF(P126="사용자항목3",L126,0)</f>
        <v>0</v>
      </c>
      <c r="AF126" s="27">
        <f t="shared" ref="AF126:AF143" si="81">IF(P126="사용자항목4",L126,0)</f>
        <v>0</v>
      </c>
      <c r="AG126" s="27">
        <f t="shared" ref="AG126:AG143" si="82">IF(P126="사용자항목5",L126,0)</f>
        <v>0</v>
      </c>
      <c r="AH126" s="27">
        <f t="shared" ref="AH126:AH143" si="83">IF(P126="사용자항목6",L126,0)</f>
        <v>0</v>
      </c>
      <c r="AI126" s="27">
        <f t="shared" ref="AI126:AI143" si="84">IF(P126="사용자항목7",L126,0)</f>
        <v>0</v>
      </c>
      <c r="AJ126" s="27">
        <f t="shared" ref="AJ126:AJ143" si="85">IF(P126="사용자항목8",L126,0)</f>
        <v>0</v>
      </c>
      <c r="AK126" s="27">
        <f t="shared" ref="AK126:AK143" si="86">IF(P126="사용자항목9",L126,0)</f>
        <v>0</v>
      </c>
    </row>
    <row r="127" spans="1:38" ht="19.5" customHeight="1">
      <c r="A127" s="103" t="s">
        <v>764</v>
      </c>
      <c r="B127" s="103" t="s">
        <v>615</v>
      </c>
      <c r="C127" s="104" t="s">
        <v>26</v>
      </c>
      <c r="D127" s="105">
        <v>900</v>
      </c>
      <c r="E127" s="106"/>
      <c r="F127" s="106">
        <f t="shared" si="62"/>
        <v>0</v>
      </c>
      <c r="G127" s="106"/>
      <c r="H127" s="106">
        <f t="shared" si="63"/>
        <v>0</v>
      </c>
      <c r="I127" s="106"/>
      <c r="J127" s="106">
        <f t="shared" si="64"/>
        <v>0</v>
      </c>
      <c r="K127" s="106">
        <f t="shared" si="65"/>
        <v>0</v>
      </c>
      <c r="L127" s="106">
        <f t="shared" si="66"/>
        <v>0</v>
      </c>
      <c r="M127" s="108"/>
      <c r="P127" s="31" t="s">
        <v>452</v>
      </c>
      <c r="Q127" s="27">
        <v>1</v>
      </c>
      <c r="R127" s="27">
        <f t="shared" si="67"/>
        <v>0</v>
      </c>
      <c r="S127" s="27">
        <f t="shared" si="68"/>
        <v>0</v>
      </c>
      <c r="T127" s="27">
        <f t="shared" si="69"/>
        <v>0</v>
      </c>
      <c r="U127" s="27">
        <f t="shared" si="70"/>
        <v>0</v>
      </c>
      <c r="V127" s="27">
        <f t="shared" si="71"/>
        <v>0</v>
      </c>
      <c r="W127" s="27">
        <f t="shared" si="72"/>
        <v>0</v>
      </c>
      <c r="X127" s="27">
        <f t="shared" si="73"/>
        <v>0</v>
      </c>
      <c r="Y127" s="27">
        <f t="shared" si="74"/>
        <v>0</v>
      </c>
      <c r="Z127" s="27">
        <f t="shared" si="75"/>
        <v>0</v>
      </c>
      <c r="AA127" s="27">
        <f t="shared" si="76"/>
        <v>0</v>
      </c>
      <c r="AB127" s="27">
        <f t="shared" si="77"/>
        <v>0</v>
      </c>
      <c r="AC127" s="27">
        <f t="shared" si="78"/>
        <v>0</v>
      </c>
      <c r="AD127" s="27">
        <f t="shared" si="79"/>
        <v>0</v>
      </c>
      <c r="AE127" s="27">
        <f t="shared" si="80"/>
        <v>0</v>
      </c>
      <c r="AF127" s="27">
        <f t="shared" si="81"/>
        <v>0</v>
      </c>
      <c r="AG127" s="27">
        <f t="shared" si="82"/>
        <v>0</v>
      </c>
      <c r="AH127" s="27">
        <f t="shared" si="83"/>
        <v>0</v>
      </c>
      <c r="AI127" s="27">
        <f t="shared" si="84"/>
        <v>0</v>
      </c>
      <c r="AJ127" s="27">
        <f t="shared" si="85"/>
        <v>0</v>
      </c>
      <c r="AK127" s="27">
        <f t="shared" si="86"/>
        <v>0</v>
      </c>
    </row>
    <row r="128" spans="1:38" ht="19.5" customHeight="1">
      <c r="A128" s="103" t="s">
        <v>691</v>
      </c>
      <c r="B128" s="103" t="s">
        <v>618</v>
      </c>
      <c r="C128" s="104" t="s">
        <v>26</v>
      </c>
      <c r="D128" s="105">
        <v>4</v>
      </c>
      <c r="E128" s="106"/>
      <c r="F128" s="106">
        <f t="shared" si="62"/>
        <v>0</v>
      </c>
      <c r="G128" s="106"/>
      <c r="H128" s="106">
        <f t="shared" si="63"/>
        <v>0</v>
      </c>
      <c r="I128" s="106"/>
      <c r="J128" s="106">
        <f t="shared" si="64"/>
        <v>0</v>
      </c>
      <c r="K128" s="106">
        <f t="shared" si="65"/>
        <v>0</v>
      </c>
      <c r="L128" s="106">
        <f t="shared" si="66"/>
        <v>0</v>
      </c>
      <c r="M128" s="108"/>
      <c r="P128" s="31" t="s">
        <v>452</v>
      </c>
      <c r="Q128" s="27">
        <v>1</v>
      </c>
      <c r="R128" s="27">
        <f t="shared" si="67"/>
        <v>0</v>
      </c>
      <c r="S128" s="27">
        <f t="shared" si="68"/>
        <v>0</v>
      </c>
      <c r="T128" s="27">
        <f t="shared" si="69"/>
        <v>0</v>
      </c>
      <c r="U128" s="27">
        <f t="shared" si="70"/>
        <v>0</v>
      </c>
      <c r="V128" s="27">
        <f t="shared" si="71"/>
        <v>0</v>
      </c>
      <c r="W128" s="27">
        <f t="shared" si="72"/>
        <v>0</v>
      </c>
      <c r="X128" s="27">
        <f t="shared" si="73"/>
        <v>0</v>
      </c>
      <c r="Y128" s="27">
        <f t="shared" si="74"/>
        <v>0</v>
      </c>
      <c r="Z128" s="27">
        <f t="shared" si="75"/>
        <v>0</v>
      </c>
      <c r="AA128" s="27">
        <f t="shared" si="76"/>
        <v>0</v>
      </c>
      <c r="AB128" s="27">
        <f t="shared" si="77"/>
        <v>0</v>
      </c>
      <c r="AC128" s="27">
        <f t="shared" si="78"/>
        <v>0</v>
      </c>
      <c r="AD128" s="27">
        <f t="shared" si="79"/>
        <v>0</v>
      </c>
      <c r="AE128" s="27">
        <f t="shared" si="80"/>
        <v>0</v>
      </c>
      <c r="AF128" s="27">
        <f t="shared" si="81"/>
        <v>0</v>
      </c>
      <c r="AG128" s="27">
        <f t="shared" si="82"/>
        <v>0</v>
      </c>
      <c r="AH128" s="27">
        <f t="shared" si="83"/>
        <v>0</v>
      </c>
      <c r="AI128" s="27">
        <f t="shared" si="84"/>
        <v>0</v>
      </c>
      <c r="AJ128" s="27">
        <f t="shared" si="85"/>
        <v>0</v>
      </c>
      <c r="AK128" s="27">
        <f t="shared" si="86"/>
        <v>0</v>
      </c>
    </row>
    <row r="129" spans="1:37" ht="19.5" customHeight="1">
      <c r="A129" s="103" t="s">
        <v>767</v>
      </c>
      <c r="B129" s="103" t="s">
        <v>37</v>
      </c>
      <c r="C129" s="104" t="s">
        <v>26</v>
      </c>
      <c r="D129" s="105">
        <v>42</v>
      </c>
      <c r="E129" s="106"/>
      <c r="F129" s="106">
        <f t="shared" si="62"/>
        <v>0</v>
      </c>
      <c r="G129" s="106"/>
      <c r="H129" s="106">
        <f t="shared" si="63"/>
        <v>0</v>
      </c>
      <c r="I129" s="106"/>
      <c r="J129" s="106">
        <f t="shared" si="64"/>
        <v>0</v>
      </c>
      <c r="K129" s="106">
        <f t="shared" si="65"/>
        <v>0</v>
      </c>
      <c r="L129" s="106">
        <f t="shared" si="66"/>
        <v>0</v>
      </c>
      <c r="M129" s="108"/>
      <c r="P129" s="31" t="s">
        <v>452</v>
      </c>
      <c r="Q129" s="27">
        <v>1</v>
      </c>
      <c r="R129" s="27">
        <f t="shared" si="67"/>
        <v>0</v>
      </c>
      <c r="S129" s="27">
        <f t="shared" si="68"/>
        <v>0</v>
      </c>
      <c r="T129" s="27">
        <f t="shared" si="69"/>
        <v>0</v>
      </c>
      <c r="U129" s="27">
        <f t="shared" si="70"/>
        <v>0</v>
      </c>
      <c r="V129" s="27">
        <f t="shared" si="71"/>
        <v>0</v>
      </c>
      <c r="W129" s="27">
        <f t="shared" si="72"/>
        <v>0</v>
      </c>
      <c r="X129" s="27">
        <f t="shared" si="73"/>
        <v>0</v>
      </c>
      <c r="Y129" s="27">
        <f t="shared" si="74"/>
        <v>0</v>
      </c>
      <c r="Z129" s="27">
        <f t="shared" si="75"/>
        <v>0</v>
      </c>
      <c r="AA129" s="27">
        <f t="shared" si="76"/>
        <v>0</v>
      </c>
      <c r="AB129" s="27">
        <f t="shared" si="77"/>
        <v>0</v>
      </c>
      <c r="AC129" s="27">
        <f t="shared" si="78"/>
        <v>0</v>
      </c>
      <c r="AD129" s="27">
        <f t="shared" si="79"/>
        <v>0</v>
      </c>
      <c r="AE129" s="27">
        <f t="shared" si="80"/>
        <v>0</v>
      </c>
      <c r="AF129" s="27">
        <f t="shared" si="81"/>
        <v>0</v>
      </c>
      <c r="AG129" s="27">
        <f t="shared" si="82"/>
        <v>0</v>
      </c>
      <c r="AH129" s="27">
        <f t="shared" si="83"/>
        <v>0</v>
      </c>
      <c r="AI129" s="27">
        <f t="shared" si="84"/>
        <v>0</v>
      </c>
      <c r="AJ129" s="27">
        <f t="shared" si="85"/>
        <v>0</v>
      </c>
      <c r="AK129" s="27">
        <f t="shared" si="86"/>
        <v>0</v>
      </c>
    </row>
    <row r="130" spans="1:37" ht="19.5" customHeight="1">
      <c r="A130" s="103" t="s">
        <v>648</v>
      </c>
      <c r="B130" s="103" t="s">
        <v>629</v>
      </c>
      <c r="C130" s="104" t="s">
        <v>26</v>
      </c>
      <c r="D130" s="105">
        <v>85</v>
      </c>
      <c r="E130" s="106"/>
      <c r="F130" s="106">
        <f t="shared" si="62"/>
        <v>0</v>
      </c>
      <c r="G130" s="106"/>
      <c r="H130" s="106">
        <f t="shared" si="63"/>
        <v>0</v>
      </c>
      <c r="I130" s="106"/>
      <c r="J130" s="106">
        <f t="shared" si="64"/>
        <v>0</v>
      </c>
      <c r="K130" s="106">
        <f t="shared" si="65"/>
        <v>0</v>
      </c>
      <c r="L130" s="106">
        <f t="shared" si="66"/>
        <v>0</v>
      </c>
      <c r="M130" s="108"/>
      <c r="P130" s="31" t="s">
        <v>452</v>
      </c>
      <c r="Q130" s="27">
        <v>1</v>
      </c>
      <c r="R130" s="27">
        <f t="shared" si="67"/>
        <v>0</v>
      </c>
      <c r="S130" s="27">
        <f t="shared" si="68"/>
        <v>0</v>
      </c>
      <c r="T130" s="27">
        <f t="shared" si="69"/>
        <v>0</v>
      </c>
      <c r="U130" s="27">
        <f t="shared" si="70"/>
        <v>0</v>
      </c>
      <c r="V130" s="27">
        <f t="shared" si="71"/>
        <v>0</v>
      </c>
      <c r="W130" s="27">
        <f t="shared" si="72"/>
        <v>0</v>
      </c>
      <c r="X130" s="27">
        <f t="shared" si="73"/>
        <v>0</v>
      </c>
      <c r="Y130" s="27">
        <f t="shared" si="74"/>
        <v>0</v>
      </c>
      <c r="Z130" s="27">
        <f t="shared" si="75"/>
        <v>0</v>
      </c>
      <c r="AA130" s="27">
        <f t="shared" si="76"/>
        <v>0</v>
      </c>
      <c r="AB130" s="27">
        <f t="shared" si="77"/>
        <v>0</v>
      </c>
      <c r="AC130" s="27">
        <f t="shared" si="78"/>
        <v>0</v>
      </c>
      <c r="AD130" s="27">
        <f t="shared" si="79"/>
        <v>0</v>
      </c>
      <c r="AE130" s="27">
        <f t="shared" si="80"/>
        <v>0</v>
      </c>
      <c r="AF130" s="27">
        <f t="shared" si="81"/>
        <v>0</v>
      </c>
      <c r="AG130" s="27">
        <f t="shared" si="82"/>
        <v>0</v>
      </c>
      <c r="AH130" s="27">
        <f t="shared" si="83"/>
        <v>0</v>
      </c>
      <c r="AI130" s="27">
        <f t="shared" si="84"/>
        <v>0</v>
      </c>
      <c r="AJ130" s="27">
        <f t="shared" si="85"/>
        <v>0</v>
      </c>
      <c r="AK130" s="27">
        <f t="shared" si="86"/>
        <v>0</v>
      </c>
    </row>
    <row r="131" spans="1:37" ht="19.5" customHeight="1">
      <c r="A131" s="103" t="s">
        <v>652</v>
      </c>
      <c r="B131" s="103" t="s">
        <v>629</v>
      </c>
      <c r="C131" s="104" t="s">
        <v>26</v>
      </c>
      <c r="D131" s="105">
        <v>6</v>
      </c>
      <c r="E131" s="106"/>
      <c r="F131" s="106">
        <f t="shared" si="62"/>
        <v>0</v>
      </c>
      <c r="G131" s="106"/>
      <c r="H131" s="106">
        <f t="shared" si="63"/>
        <v>0</v>
      </c>
      <c r="I131" s="106"/>
      <c r="J131" s="106">
        <f t="shared" si="64"/>
        <v>0</v>
      </c>
      <c r="K131" s="106">
        <f t="shared" si="65"/>
        <v>0</v>
      </c>
      <c r="L131" s="106">
        <f t="shared" si="66"/>
        <v>0</v>
      </c>
      <c r="M131" s="108"/>
      <c r="P131" s="31" t="s">
        <v>452</v>
      </c>
      <c r="Q131" s="27">
        <v>1</v>
      </c>
      <c r="R131" s="27">
        <f t="shared" si="67"/>
        <v>0</v>
      </c>
      <c r="S131" s="27">
        <f t="shared" si="68"/>
        <v>0</v>
      </c>
      <c r="T131" s="27">
        <f t="shared" si="69"/>
        <v>0</v>
      </c>
      <c r="U131" s="27">
        <f t="shared" si="70"/>
        <v>0</v>
      </c>
      <c r="V131" s="27">
        <f t="shared" si="71"/>
        <v>0</v>
      </c>
      <c r="W131" s="27">
        <f t="shared" si="72"/>
        <v>0</v>
      </c>
      <c r="X131" s="27">
        <f t="shared" si="73"/>
        <v>0</v>
      </c>
      <c r="Y131" s="27">
        <f t="shared" si="74"/>
        <v>0</v>
      </c>
      <c r="Z131" s="27">
        <f t="shared" si="75"/>
        <v>0</v>
      </c>
      <c r="AA131" s="27">
        <f t="shared" si="76"/>
        <v>0</v>
      </c>
      <c r="AB131" s="27">
        <f t="shared" si="77"/>
        <v>0</v>
      </c>
      <c r="AC131" s="27">
        <f t="shared" si="78"/>
        <v>0</v>
      </c>
      <c r="AD131" s="27">
        <f t="shared" si="79"/>
        <v>0</v>
      </c>
      <c r="AE131" s="27">
        <f t="shared" si="80"/>
        <v>0</v>
      </c>
      <c r="AF131" s="27">
        <f t="shared" si="81"/>
        <v>0</v>
      </c>
      <c r="AG131" s="27">
        <f t="shared" si="82"/>
        <v>0</v>
      </c>
      <c r="AH131" s="27">
        <f t="shared" si="83"/>
        <v>0</v>
      </c>
      <c r="AI131" s="27">
        <f t="shared" si="84"/>
        <v>0</v>
      </c>
      <c r="AJ131" s="27">
        <f t="shared" si="85"/>
        <v>0</v>
      </c>
      <c r="AK131" s="27">
        <f t="shared" si="86"/>
        <v>0</v>
      </c>
    </row>
    <row r="132" spans="1:37" ht="19.5" customHeight="1">
      <c r="A132" s="103" t="s">
        <v>769</v>
      </c>
      <c r="B132" s="103" t="s">
        <v>633</v>
      </c>
      <c r="C132" s="104" t="s">
        <v>26</v>
      </c>
      <c r="D132" s="105">
        <v>11</v>
      </c>
      <c r="E132" s="106"/>
      <c r="F132" s="106">
        <f t="shared" si="62"/>
        <v>0</v>
      </c>
      <c r="G132" s="106"/>
      <c r="H132" s="106">
        <f t="shared" si="63"/>
        <v>0</v>
      </c>
      <c r="I132" s="106"/>
      <c r="J132" s="106">
        <f t="shared" si="64"/>
        <v>0</v>
      </c>
      <c r="K132" s="106">
        <f t="shared" si="65"/>
        <v>0</v>
      </c>
      <c r="L132" s="106">
        <f t="shared" si="66"/>
        <v>0</v>
      </c>
      <c r="M132" s="108"/>
      <c r="P132" s="31" t="s">
        <v>452</v>
      </c>
      <c r="Q132" s="27">
        <v>1</v>
      </c>
      <c r="R132" s="27">
        <f t="shared" si="67"/>
        <v>0</v>
      </c>
      <c r="S132" s="27">
        <f t="shared" si="68"/>
        <v>0</v>
      </c>
      <c r="T132" s="27">
        <f t="shared" si="69"/>
        <v>0</v>
      </c>
      <c r="U132" s="27">
        <f t="shared" si="70"/>
        <v>0</v>
      </c>
      <c r="V132" s="27">
        <f t="shared" si="71"/>
        <v>0</v>
      </c>
      <c r="W132" s="27">
        <f t="shared" si="72"/>
        <v>0</v>
      </c>
      <c r="X132" s="27">
        <f t="shared" si="73"/>
        <v>0</v>
      </c>
      <c r="Y132" s="27">
        <f t="shared" si="74"/>
        <v>0</v>
      </c>
      <c r="Z132" s="27">
        <f t="shared" si="75"/>
        <v>0</v>
      </c>
      <c r="AA132" s="27">
        <f t="shared" si="76"/>
        <v>0</v>
      </c>
      <c r="AB132" s="27">
        <f t="shared" si="77"/>
        <v>0</v>
      </c>
      <c r="AC132" s="27">
        <f t="shared" si="78"/>
        <v>0</v>
      </c>
      <c r="AD132" s="27">
        <f t="shared" si="79"/>
        <v>0</v>
      </c>
      <c r="AE132" s="27">
        <f t="shared" si="80"/>
        <v>0</v>
      </c>
      <c r="AF132" s="27">
        <f t="shared" si="81"/>
        <v>0</v>
      </c>
      <c r="AG132" s="27">
        <f t="shared" si="82"/>
        <v>0</v>
      </c>
      <c r="AH132" s="27">
        <f t="shared" si="83"/>
        <v>0</v>
      </c>
      <c r="AI132" s="27">
        <f t="shared" si="84"/>
        <v>0</v>
      </c>
      <c r="AJ132" s="27">
        <f t="shared" si="85"/>
        <v>0</v>
      </c>
      <c r="AK132" s="27">
        <f t="shared" si="86"/>
        <v>0</v>
      </c>
    </row>
    <row r="133" spans="1:37" ht="19.5" customHeight="1">
      <c r="A133" s="103" t="s">
        <v>771</v>
      </c>
      <c r="B133" s="103" t="s">
        <v>636</v>
      </c>
      <c r="C133" s="104" t="s">
        <v>26</v>
      </c>
      <c r="D133" s="105">
        <v>132</v>
      </c>
      <c r="E133" s="106"/>
      <c r="F133" s="106">
        <f t="shared" si="62"/>
        <v>0</v>
      </c>
      <c r="G133" s="106"/>
      <c r="H133" s="106">
        <f t="shared" si="63"/>
        <v>0</v>
      </c>
      <c r="I133" s="106"/>
      <c r="J133" s="106">
        <f t="shared" si="64"/>
        <v>0</v>
      </c>
      <c r="K133" s="106">
        <f t="shared" si="65"/>
        <v>0</v>
      </c>
      <c r="L133" s="106">
        <f t="shared" si="66"/>
        <v>0</v>
      </c>
      <c r="M133" s="108"/>
      <c r="P133" s="31" t="s">
        <v>452</v>
      </c>
      <c r="Q133" s="27">
        <v>1</v>
      </c>
      <c r="R133" s="27">
        <f t="shared" si="67"/>
        <v>0</v>
      </c>
      <c r="S133" s="27">
        <f t="shared" si="68"/>
        <v>0</v>
      </c>
      <c r="T133" s="27">
        <f t="shared" si="69"/>
        <v>0</v>
      </c>
      <c r="U133" s="27">
        <f t="shared" si="70"/>
        <v>0</v>
      </c>
      <c r="V133" s="27">
        <f t="shared" si="71"/>
        <v>0</v>
      </c>
      <c r="W133" s="27">
        <f t="shared" si="72"/>
        <v>0</v>
      </c>
      <c r="X133" s="27">
        <f t="shared" si="73"/>
        <v>0</v>
      </c>
      <c r="Y133" s="27">
        <f t="shared" si="74"/>
        <v>0</v>
      </c>
      <c r="Z133" s="27">
        <f t="shared" si="75"/>
        <v>0</v>
      </c>
      <c r="AA133" s="27">
        <f t="shared" si="76"/>
        <v>0</v>
      </c>
      <c r="AB133" s="27">
        <f t="shared" si="77"/>
        <v>0</v>
      </c>
      <c r="AC133" s="27">
        <f t="shared" si="78"/>
        <v>0</v>
      </c>
      <c r="AD133" s="27">
        <f t="shared" si="79"/>
        <v>0</v>
      </c>
      <c r="AE133" s="27">
        <f t="shared" si="80"/>
        <v>0</v>
      </c>
      <c r="AF133" s="27">
        <f t="shared" si="81"/>
        <v>0</v>
      </c>
      <c r="AG133" s="27">
        <f t="shared" si="82"/>
        <v>0</v>
      </c>
      <c r="AH133" s="27">
        <f t="shared" si="83"/>
        <v>0</v>
      </c>
      <c r="AI133" s="27">
        <f t="shared" si="84"/>
        <v>0</v>
      </c>
      <c r="AJ133" s="27">
        <f t="shared" si="85"/>
        <v>0</v>
      </c>
      <c r="AK133" s="27">
        <f t="shared" si="86"/>
        <v>0</v>
      </c>
    </row>
    <row r="134" spans="1:37" ht="19.5" customHeight="1">
      <c r="A134" s="103" t="s">
        <v>277</v>
      </c>
      <c r="B134" s="103" t="s">
        <v>278</v>
      </c>
      <c r="C134" s="104" t="s">
        <v>26</v>
      </c>
      <c r="D134" s="105">
        <v>229</v>
      </c>
      <c r="E134" s="106"/>
      <c r="F134" s="106">
        <f t="shared" si="62"/>
        <v>0</v>
      </c>
      <c r="G134" s="106"/>
      <c r="H134" s="106">
        <f t="shared" si="63"/>
        <v>0</v>
      </c>
      <c r="I134" s="106"/>
      <c r="J134" s="106">
        <f t="shared" si="64"/>
        <v>0</v>
      </c>
      <c r="K134" s="106">
        <f t="shared" si="65"/>
        <v>0</v>
      </c>
      <c r="L134" s="106">
        <f t="shared" si="66"/>
        <v>0</v>
      </c>
      <c r="M134" s="107"/>
      <c r="O134" s="31" t="s">
        <v>457</v>
      </c>
      <c r="P134" s="31" t="s">
        <v>452</v>
      </c>
      <c r="Q134" s="27">
        <v>1</v>
      </c>
      <c r="R134" s="27">
        <f t="shared" si="67"/>
        <v>0</v>
      </c>
      <c r="S134" s="27">
        <f t="shared" si="68"/>
        <v>0</v>
      </c>
      <c r="T134" s="27">
        <f t="shared" si="69"/>
        <v>0</v>
      </c>
      <c r="U134" s="27">
        <f t="shared" si="70"/>
        <v>0</v>
      </c>
      <c r="V134" s="27">
        <f t="shared" si="71"/>
        <v>0</v>
      </c>
      <c r="W134" s="27">
        <f t="shared" si="72"/>
        <v>0</v>
      </c>
      <c r="X134" s="27">
        <f t="shared" si="73"/>
        <v>0</v>
      </c>
      <c r="Y134" s="27">
        <f t="shared" si="74"/>
        <v>0</v>
      </c>
      <c r="Z134" s="27">
        <f t="shared" si="75"/>
        <v>0</v>
      </c>
      <c r="AA134" s="27">
        <f t="shared" si="76"/>
        <v>0</v>
      </c>
      <c r="AB134" s="27">
        <f t="shared" si="77"/>
        <v>0</v>
      </c>
      <c r="AC134" s="27">
        <f t="shared" si="78"/>
        <v>0</v>
      </c>
      <c r="AD134" s="27">
        <f t="shared" si="79"/>
        <v>0</v>
      </c>
      <c r="AE134" s="27">
        <f t="shared" si="80"/>
        <v>0</v>
      </c>
      <c r="AF134" s="27">
        <f t="shared" si="81"/>
        <v>0</v>
      </c>
      <c r="AG134" s="27">
        <f t="shared" si="82"/>
        <v>0</v>
      </c>
      <c r="AH134" s="27">
        <f t="shared" si="83"/>
        <v>0</v>
      </c>
      <c r="AI134" s="27">
        <f t="shared" si="84"/>
        <v>0</v>
      </c>
      <c r="AJ134" s="27">
        <f t="shared" si="85"/>
        <v>0</v>
      </c>
      <c r="AK134" s="27">
        <f t="shared" si="86"/>
        <v>0</v>
      </c>
    </row>
    <row r="135" spans="1:37" ht="19.5" customHeight="1">
      <c r="A135" s="103" t="s">
        <v>129</v>
      </c>
      <c r="B135" s="103" t="s">
        <v>130</v>
      </c>
      <c r="C135" s="104" t="s">
        <v>26</v>
      </c>
      <c r="D135" s="105">
        <f>INT(D136*1.1)</f>
        <v>350</v>
      </c>
      <c r="E135" s="106"/>
      <c r="F135" s="106">
        <f t="shared" si="62"/>
        <v>0</v>
      </c>
      <c r="G135" s="106"/>
      <c r="H135" s="106">
        <f t="shared" si="63"/>
        <v>0</v>
      </c>
      <c r="I135" s="106"/>
      <c r="J135" s="106">
        <f t="shared" si="64"/>
        <v>0</v>
      </c>
      <c r="K135" s="106">
        <f t="shared" si="65"/>
        <v>0</v>
      </c>
      <c r="L135" s="106">
        <f t="shared" si="66"/>
        <v>0</v>
      </c>
      <c r="M135" s="107"/>
      <c r="O135" s="31" t="s">
        <v>457</v>
      </c>
      <c r="P135" s="31" t="s">
        <v>452</v>
      </c>
      <c r="Q135" s="27">
        <v>1</v>
      </c>
      <c r="R135" s="27">
        <f t="shared" si="67"/>
        <v>0</v>
      </c>
      <c r="S135" s="27">
        <f t="shared" si="68"/>
        <v>0</v>
      </c>
      <c r="T135" s="27">
        <f t="shared" si="69"/>
        <v>0</v>
      </c>
      <c r="U135" s="27">
        <f t="shared" si="70"/>
        <v>0</v>
      </c>
      <c r="V135" s="27">
        <f t="shared" si="71"/>
        <v>0</v>
      </c>
      <c r="W135" s="27">
        <f t="shared" si="72"/>
        <v>0</v>
      </c>
      <c r="X135" s="27">
        <f t="shared" si="73"/>
        <v>0</v>
      </c>
      <c r="Y135" s="27">
        <f t="shared" si="74"/>
        <v>0</v>
      </c>
      <c r="Z135" s="27">
        <f t="shared" si="75"/>
        <v>0</v>
      </c>
      <c r="AA135" s="27">
        <f t="shared" si="76"/>
        <v>0</v>
      </c>
      <c r="AB135" s="27">
        <f t="shared" si="77"/>
        <v>0</v>
      </c>
      <c r="AC135" s="27">
        <f t="shared" si="78"/>
        <v>0</v>
      </c>
      <c r="AD135" s="27">
        <f t="shared" si="79"/>
        <v>0</v>
      </c>
      <c r="AE135" s="27">
        <f t="shared" si="80"/>
        <v>0</v>
      </c>
      <c r="AF135" s="27">
        <f t="shared" si="81"/>
        <v>0</v>
      </c>
      <c r="AG135" s="27">
        <f t="shared" si="82"/>
        <v>0</v>
      </c>
      <c r="AH135" s="27">
        <f t="shared" si="83"/>
        <v>0</v>
      </c>
      <c r="AI135" s="27">
        <f t="shared" si="84"/>
        <v>0</v>
      </c>
      <c r="AJ135" s="27">
        <f t="shared" si="85"/>
        <v>0</v>
      </c>
      <c r="AK135" s="27">
        <f t="shared" si="86"/>
        <v>0</v>
      </c>
    </row>
    <row r="136" spans="1:37" ht="19.5" customHeight="1">
      <c r="A136" s="103" t="s">
        <v>773</v>
      </c>
      <c r="B136" s="103"/>
      <c r="C136" s="104" t="s">
        <v>26</v>
      </c>
      <c r="D136" s="105">
        <f>INT(200+(6*4)*2.4+(4.6+7.1)*2.4+(9+5.1)*2.4)</f>
        <v>319</v>
      </c>
      <c r="E136" s="106"/>
      <c r="F136" s="106">
        <f t="shared" si="62"/>
        <v>0</v>
      </c>
      <c r="G136" s="106"/>
      <c r="H136" s="106">
        <f t="shared" si="63"/>
        <v>0</v>
      </c>
      <c r="I136" s="106"/>
      <c r="J136" s="106">
        <f t="shared" si="64"/>
        <v>0</v>
      </c>
      <c r="K136" s="106">
        <f t="shared" si="65"/>
        <v>0</v>
      </c>
      <c r="L136" s="106">
        <f t="shared" si="66"/>
        <v>0</v>
      </c>
      <c r="M136" s="108"/>
      <c r="P136" s="31" t="s">
        <v>452</v>
      </c>
      <c r="Q136" s="27">
        <v>1</v>
      </c>
      <c r="R136" s="27">
        <f t="shared" si="67"/>
        <v>0</v>
      </c>
      <c r="S136" s="27">
        <f t="shared" si="68"/>
        <v>0</v>
      </c>
      <c r="T136" s="27">
        <f t="shared" si="69"/>
        <v>0</v>
      </c>
      <c r="U136" s="27">
        <f t="shared" si="70"/>
        <v>0</v>
      </c>
      <c r="V136" s="27">
        <f t="shared" si="71"/>
        <v>0</v>
      </c>
      <c r="W136" s="27">
        <f t="shared" si="72"/>
        <v>0</v>
      </c>
      <c r="X136" s="27">
        <f t="shared" si="73"/>
        <v>0</v>
      </c>
      <c r="Y136" s="27">
        <f t="shared" si="74"/>
        <v>0</v>
      </c>
      <c r="Z136" s="27">
        <f t="shared" si="75"/>
        <v>0</v>
      </c>
      <c r="AA136" s="27">
        <f t="shared" si="76"/>
        <v>0</v>
      </c>
      <c r="AB136" s="27">
        <f t="shared" si="77"/>
        <v>0</v>
      </c>
      <c r="AC136" s="27">
        <f t="shared" si="78"/>
        <v>0</v>
      </c>
      <c r="AD136" s="27">
        <f t="shared" si="79"/>
        <v>0</v>
      </c>
      <c r="AE136" s="27">
        <f t="shared" si="80"/>
        <v>0</v>
      </c>
      <c r="AF136" s="27">
        <f t="shared" si="81"/>
        <v>0</v>
      </c>
      <c r="AG136" s="27">
        <f t="shared" si="82"/>
        <v>0</v>
      </c>
      <c r="AH136" s="27">
        <f t="shared" si="83"/>
        <v>0</v>
      </c>
      <c r="AI136" s="27">
        <f t="shared" si="84"/>
        <v>0</v>
      </c>
      <c r="AJ136" s="27">
        <f t="shared" si="85"/>
        <v>0</v>
      </c>
      <c r="AK136" s="27">
        <f t="shared" si="86"/>
        <v>0</v>
      </c>
    </row>
    <row r="137" spans="1:37" ht="19.5" customHeight="1">
      <c r="A137" s="103" t="s">
        <v>775</v>
      </c>
      <c r="B137" s="103" t="s">
        <v>936</v>
      </c>
      <c r="C137" s="104" t="s">
        <v>26</v>
      </c>
      <c r="D137" s="105">
        <f>3270-338</f>
        <v>2932</v>
      </c>
      <c r="E137" s="106"/>
      <c r="F137" s="106">
        <f t="shared" si="62"/>
        <v>0</v>
      </c>
      <c r="G137" s="106"/>
      <c r="H137" s="106">
        <f t="shared" si="63"/>
        <v>0</v>
      </c>
      <c r="I137" s="106"/>
      <c r="J137" s="106">
        <f t="shared" si="64"/>
        <v>0</v>
      </c>
      <c r="K137" s="106">
        <f t="shared" si="65"/>
        <v>0</v>
      </c>
      <c r="L137" s="106">
        <f t="shared" si="66"/>
        <v>0</v>
      </c>
      <c r="M137" s="108"/>
      <c r="P137" s="31" t="s">
        <v>452</v>
      </c>
      <c r="Q137" s="27">
        <v>1</v>
      </c>
      <c r="R137" s="27">
        <f t="shared" si="67"/>
        <v>0</v>
      </c>
      <c r="S137" s="27">
        <f t="shared" si="68"/>
        <v>0</v>
      </c>
      <c r="T137" s="27">
        <f t="shared" si="69"/>
        <v>0</v>
      </c>
      <c r="U137" s="27">
        <f t="shared" si="70"/>
        <v>0</v>
      </c>
      <c r="V137" s="27">
        <f t="shared" si="71"/>
        <v>0</v>
      </c>
      <c r="W137" s="27">
        <f t="shared" si="72"/>
        <v>0</v>
      </c>
      <c r="X137" s="27">
        <f t="shared" si="73"/>
        <v>0</v>
      </c>
      <c r="Y137" s="27">
        <f t="shared" si="74"/>
        <v>0</v>
      </c>
      <c r="Z137" s="27">
        <f t="shared" si="75"/>
        <v>0</v>
      </c>
      <c r="AA137" s="27">
        <f t="shared" si="76"/>
        <v>0</v>
      </c>
      <c r="AB137" s="27">
        <f t="shared" si="77"/>
        <v>0</v>
      </c>
      <c r="AC137" s="27">
        <f t="shared" si="78"/>
        <v>0</v>
      </c>
      <c r="AD137" s="27">
        <f t="shared" si="79"/>
        <v>0</v>
      </c>
      <c r="AE137" s="27">
        <f t="shared" si="80"/>
        <v>0</v>
      </c>
      <c r="AF137" s="27">
        <f t="shared" si="81"/>
        <v>0</v>
      </c>
      <c r="AG137" s="27">
        <f t="shared" si="82"/>
        <v>0</v>
      </c>
      <c r="AH137" s="27">
        <f t="shared" si="83"/>
        <v>0</v>
      </c>
      <c r="AI137" s="27">
        <f t="shared" si="84"/>
        <v>0</v>
      </c>
      <c r="AJ137" s="27">
        <f t="shared" si="85"/>
        <v>0</v>
      </c>
      <c r="AK137" s="27">
        <f t="shared" si="86"/>
        <v>0</v>
      </c>
    </row>
    <row r="138" spans="1:37" ht="19.5" customHeight="1">
      <c r="A138" s="103" t="s">
        <v>777</v>
      </c>
      <c r="B138" s="103" t="s">
        <v>642</v>
      </c>
      <c r="C138" s="104" t="s">
        <v>26</v>
      </c>
      <c r="D138" s="105">
        <f>218-34</f>
        <v>184</v>
      </c>
      <c r="E138" s="106"/>
      <c r="F138" s="106">
        <f t="shared" si="62"/>
        <v>0</v>
      </c>
      <c r="G138" s="106"/>
      <c r="H138" s="106">
        <f t="shared" si="63"/>
        <v>0</v>
      </c>
      <c r="I138" s="106"/>
      <c r="J138" s="106">
        <f t="shared" si="64"/>
        <v>0</v>
      </c>
      <c r="K138" s="106">
        <f t="shared" si="65"/>
        <v>0</v>
      </c>
      <c r="L138" s="106">
        <f t="shared" si="66"/>
        <v>0</v>
      </c>
      <c r="M138" s="108"/>
      <c r="P138" s="31" t="s">
        <v>452</v>
      </c>
      <c r="Q138" s="27">
        <v>1</v>
      </c>
      <c r="R138" s="27">
        <f t="shared" si="67"/>
        <v>0</v>
      </c>
      <c r="S138" s="27">
        <f t="shared" si="68"/>
        <v>0</v>
      </c>
      <c r="T138" s="27">
        <f t="shared" si="69"/>
        <v>0</v>
      </c>
      <c r="U138" s="27">
        <f t="shared" si="70"/>
        <v>0</v>
      </c>
      <c r="V138" s="27">
        <f t="shared" si="71"/>
        <v>0</v>
      </c>
      <c r="W138" s="27">
        <f t="shared" si="72"/>
        <v>0</v>
      </c>
      <c r="X138" s="27">
        <f t="shared" si="73"/>
        <v>0</v>
      </c>
      <c r="Y138" s="27">
        <f t="shared" si="74"/>
        <v>0</v>
      </c>
      <c r="Z138" s="27">
        <f t="shared" si="75"/>
        <v>0</v>
      </c>
      <c r="AA138" s="27">
        <f t="shared" si="76"/>
        <v>0</v>
      </c>
      <c r="AB138" s="27">
        <f t="shared" si="77"/>
        <v>0</v>
      </c>
      <c r="AC138" s="27">
        <f t="shared" si="78"/>
        <v>0</v>
      </c>
      <c r="AD138" s="27">
        <f t="shared" si="79"/>
        <v>0</v>
      </c>
      <c r="AE138" s="27">
        <f t="shared" si="80"/>
        <v>0</v>
      </c>
      <c r="AF138" s="27">
        <f t="shared" si="81"/>
        <v>0</v>
      </c>
      <c r="AG138" s="27">
        <f t="shared" si="82"/>
        <v>0</v>
      </c>
      <c r="AH138" s="27">
        <f t="shared" si="83"/>
        <v>0</v>
      </c>
      <c r="AI138" s="27">
        <f t="shared" si="84"/>
        <v>0</v>
      </c>
      <c r="AJ138" s="27">
        <f t="shared" si="85"/>
        <v>0</v>
      </c>
      <c r="AK138" s="27">
        <f t="shared" si="86"/>
        <v>0</v>
      </c>
    </row>
    <row r="139" spans="1:37" ht="19.5" customHeight="1">
      <c r="A139" s="103" t="s">
        <v>85</v>
      </c>
      <c r="B139" s="103" t="s">
        <v>86</v>
      </c>
      <c r="C139" s="104" t="s">
        <v>34</v>
      </c>
      <c r="D139" s="105">
        <v>474</v>
      </c>
      <c r="E139" s="106"/>
      <c r="F139" s="106">
        <f t="shared" si="62"/>
        <v>0</v>
      </c>
      <c r="G139" s="106"/>
      <c r="H139" s="106">
        <f t="shared" si="63"/>
        <v>0</v>
      </c>
      <c r="I139" s="106"/>
      <c r="J139" s="106">
        <f t="shared" si="64"/>
        <v>0</v>
      </c>
      <c r="K139" s="106">
        <f t="shared" si="65"/>
        <v>0</v>
      </c>
      <c r="L139" s="106">
        <f t="shared" si="66"/>
        <v>0</v>
      </c>
      <c r="M139" s="107"/>
      <c r="O139" s="31" t="s">
        <v>457</v>
      </c>
      <c r="P139" s="31" t="s">
        <v>452</v>
      </c>
      <c r="Q139" s="27">
        <v>1</v>
      </c>
      <c r="R139" s="27">
        <f t="shared" si="67"/>
        <v>0</v>
      </c>
      <c r="S139" s="27">
        <f t="shared" si="68"/>
        <v>0</v>
      </c>
      <c r="T139" s="27">
        <f t="shared" si="69"/>
        <v>0</v>
      </c>
      <c r="U139" s="27">
        <f t="shared" si="70"/>
        <v>0</v>
      </c>
      <c r="V139" s="27">
        <f t="shared" si="71"/>
        <v>0</v>
      </c>
      <c r="W139" s="27">
        <f t="shared" si="72"/>
        <v>0</v>
      </c>
      <c r="X139" s="27">
        <f t="shared" si="73"/>
        <v>0</v>
      </c>
      <c r="Y139" s="27">
        <f t="shared" si="74"/>
        <v>0</v>
      </c>
      <c r="Z139" s="27">
        <f t="shared" si="75"/>
        <v>0</v>
      </c>
      <c r="AA139" s="27">
        <f t="shared" si="76"/>
        <v>0</v>
      </c>
      <c r="AB139" s="27">
        <f t="shared" si="77"/>
        <v>0</v>
      </c>
      <c r="AC139" s="27">
        <f t="shared" si="78"/>
        <v>0</v>
      </c>
      <c r="AD139" s="27">
        <f t="shared" si="79"/>
        <v>0</v>
      </c>
      <c r="AE139" s="27">
        <f t="shared" si="80"/>
        <v>0</v>
      </c>
      <c r="AF139" s="27">
        <f t="shared" si="81"/>
        <v>0</v>
      </c>
      <c r="AG139" s="27">
        <f t="shared" si="82"/>
        <v>0</v>
      </c>
      <c r="AH139" s="27">
        <f t="shared" si="83"/>
        <v>0</v>
      </c>
      <c r="AI139" s="27">
        <f t="shared" si="84"/>
        <v>0</v>
      </c>
      <c r="AJ139" s="27">
        <f t="shared" si="85"/>
        <v>0</v>
      </c>
      <c r="AK139" s="27">
        <f t="shared" si="86"/>
        <v>0</v>
      </c>
    </row>
    <row r="140" spans="1:37" ht="19.5" customHeight="1">
      <c r="A140" s="103" t="s">
        <v>779</v>
      </c>
      <c r="B140" s="103" t="s">
        <v>644</v>
      </c>
      <c r="C140" s="104" t="s">
        <v>26</v>
      </c>
      <c r="D140" s="105">
        <v>37</v>
      </c>
      <c r="E140" s="106"/>
      <c r="F140" s="106">
        <f t="shared" si="62"/>
        <v>0</v>
      </c>
      <c r="G140" s="106"/>
      <c r="H140" s="106">
        <f t="shared" si="63"/>
        <v>0</v>
      </c>
      <c r="I140" s="106"/>
      <c r="J140" s="106">
        <f t="shared" si="64"/>
        <v>0</v>
      </c>
      <c r="K140" s="106">
        <f t="shared" si="65"/>
        <v>0</v>
      </c>
      <c r="L140" s="106">
        <f t="shared" si="66"/>
        <v>0</v>
      </c>
      <c r="M140" s="108"/>
      <c r="P140" s="31" t="s">
        <v>452</v>
      </c>
      <c r="Q140" s="27">
        <v>1</v>
      </c>
      <c r="R140" s="27">
        <f t="shared" si="67"/>
        <v>0</v>
      </c>
      <c r="S140" s="27">
        <f t="shared" si="68"/>
        <v>0</v>
      </c>
      <c r="T140" s="27">
        <f t="shared" si="69"/>
        <v>0</v>
      </c>
      <c r="U140" s="27">
        <f t="shared" si="70"/>
        <v>0</v>
      </c>
      <c r="V140" s="27">
        <f t="shared" si="71"/>
        <v>0</v>
      </c>
      <c r="W140" s="27">
        <f t="shared" si="72"/>
        <v>0</v>
      </c>
      <c r="X140" s="27">
        <f t="shared" si="73"/>
        <v>0</v>
      </c>
      <c r="Y140" s="27">
        <f t="shared" si="74"/>
        <v>0</v>
      </c>
      <c r="Z140" s="27">
        <f t="shared" si="75"/>
        <v>0</v>
      </c>
      <c r="AA140" s="27">
        <f t="shared" si="76"/>
        <v>0</v>
      </c>
      <c r="AB140" s="27">
        <f t="shared" si="77"/>
        <v>0</v>
      </c>
      <c r="AC140" s="27">
        <f t="shared" si="78"/>
        <v>0</v>
      </c>
      <c r="AD140" s="27">
        <f t="shared" si="79"/>
        <v>0</v>
      </c>
      <c r="AE140" s="27">
        <f t="shared" si="80"/>
        <v>0</v>
      </c>
      <c r="AF140" s="27">
        <f t="shared" si="81"/>
        <v>0</v>
      </c>
      <c r="AG140" s="27">
        <f t="shared" si="82"/>
        <v>0</v>
      </c>
      <c r="AH140" s="27">
        <f t="shared" si="83"/>
        <v>0</v>
      </c>
      <c r="AI140" s="27">
        <f t="shared" si="84"/>
        <v>0</v>
      </c>
      <c r="AJ140" s="27">
        <f t="shared" si="85"/>
        <v>0</v>
      </c>
      <c r="AK140" s="27">
        <f t="shared" si="86"/>
        <v>0</v>
      </c>
    </row>
    <row r="141" spans="1:37" ht="19.5" customHeight="1">
      <c r="A141" s="103" t="s">
        <v>781</v>
      </c>
      <c r="B141" s="103" t="s">
        <v>668</v>
      </c>
      <c r="C141" s="104" t="s">
        <v>26</v>
      </c>
      <c r="D141" s="105">
        <v>17</v>
      </c>
      <c r="E141" s="106"/>
      <c r="F141" s="106">
        <f t="shared" si="62"/>
        <v>0</v>
      </c>
      <c r="G141" s="106"/>
      <c r="H141" s="106">
        <f t="shared" si="63"/>
        <v>0</v>
      </c>
      <c r="I141" s="106"/>
      <c r="J141" s="106">
        <f t="shared" si="64"/>
        <v>0</v>
      </c>
      <c r="K141" s="106">
        <f t="shared" si="65"/>
        <v>0</v>
      </c>
      <c r="L141" s="106">
        <f t="shared" si="66"/>
        <v>0</v>
      </c>
      <c r="M141" s="108"/>
      <c r="P141" s="31" t="s">
        <v>452</v>
      </c>
      <c r="Q141" s="27">
        <v>1</v>
      </c>
      <c r="R141" s="27">
        <f t="shared" si="67"/>
        <v>0</v>
      </c>
      <c r="S141" s="27">
        <f t="shared" si="68"/>
        <v>0</v>
      </c>
      <c r="T141" s="27">
        <f t="shared" si="69"/>
        <v>0</v>
      </c>
      <c r="U141" s="27">
        <f t="shared" si="70"/>
        <v>0</v>
      </c>
      <c r="V141" s="27">
        <f t="shared" si="71"/>
        <v>0</v>
      </c>
      <c r="W141" s="27">
        <f t="shared" si="72"/>
        <v>0</v>
      </c>
      <c r="X141" s="27">
        <f t="shared" si="73"/>
        <v>0</v>
      </c>
      <c r="Y141" s="27">
        <f t="shared" si="74"/>
        <v>0</v>
      </c>
      <c r="Z141" s="27">
        <f t="shared" si="75"/>
        <v>0</v>
      </c>
      <c r="AA141" s="27">
        <f t="shared" si="76"/>
        <v>0</v>
      </c>
      <c r="AB141" s="27">
        <f t="shared" si="77"/>
        <v>0</v>
      </c>
      <c r="AC141" s="27">
        <f t="shared" si="78"/>
        <v>0</v>
      </c>
      <c r="AD141" s="27">
        <f t="shared" si="79"/>
        <v>0</v>
      </c>
      <c r="AE141" s="27">
        <f t="shared" si="80"/>
        <v>0</v>
      </c>
      <c r="AF141" s="27">
        <f t="shared" si="81"/>
        <v>0</v>
      </c>
      <c r="AG141" s="27">
        <f t="shared" si="82"/>
        <v>0</v>
      </c>
      <c r="AH141" s="27">
        <f t="shared" si="83"/>
        <v>0</v>
      </c>
      <c r="AI141" s="27">
        <f t="shared" si="84"/>
        <v>0</v>
      </c>
      <c r="AJ141" s="27">
        <f t="shared" si="85"/>
        <v>0</v>
      </c>
      <c r="AK141" s="27">
        <f t="shared" si="86"/>
        <v>0</v>
      </c>
    </row>
    <row r="142" spans="1:37" ht="19.5" customHeight="1">
      <c r="A142" s="103" t="s">
        <v>783</v>
      </c>
      <c r="B142" s="103" t="s">
        <v>672</v>
      </c>
      <c r="C142" s="104" t="s">
        <v>34</v>
      </c>
      <c r="D142" s="105">
        <v>142</v>
      </c>
      <c r="E142" s="106"/>
      <c r="F142" s="106">
        <f t="shared" si="62"/>
        <v>0</v>
      </c>
      <c r="G142" s="106"/>
      <c r="H142" s="106">
        <f t="shared" si="63"/>
        <v>0</v>
      </c>
      <c r="I142" s="106"/>
      <c r="J142" s="106">
        <f t="shared" si="64"/>
        <v>0</v>
      </c>
      <c r="K142" s="106">
        <f t="shared" si="65"/>
        <v>0</v>
      </c>
      <c r="L142" s="106">
        <f t="shared" si="66"/>
        <v>0</v>
      </c>
      <c r="M142" s="108"/>
      <c r="P142" s="31" t="s">
        <v>452</v>
      </c>
      <c r="Q142" s="27">
        <v>1</v>
      </c>
      <c r="R142" s="27">
        <f t="shared" si="67"/>
        <v>0</v>
      </c>
      <c r="S142" s="27">
        <f t="shared" si="68"/>
        <v>0</v>
      </c>
      <c r="T142" s="27">
        <f t="shared" si="69"/>
        <v>0</v>
      </c>
      <c r="U142" s="27">
        <f t="shared" si="70"/>
        <v>0</v>
      </c>
      <c r="V142" s="27">
        <f t="shared" si="71"/>
        <v>0</v>
      </c>
      <c r="W142" s="27">
        <f t="shared" si="72"/>
        <v>0</v>
      </c>
      <c r="X142" s="27">
        <f t="shared" si="73"/>
        <v>0</v>
      </c>
      <c r="Y142" s="27">
        <f t="shared" si="74"/>
        <v>0</v>
      </c>
      <c r="Z142" s="27">
        <f t="shared" si="75"/>
        <v>0</v>
      </c>
      <c r="AA142" s="27">
        <f t="shared" si="76"/>
        <v>0</v>
      </c>
      <c r="AB142" s="27">
        <f t="shared" si="77"/>
        <v>0</v>
      </c>
      <c r="AC142" s="27">
        <f t="shared" si="78"/>
        <v>0</v>
      </c>
      <c r="AD142" s="27">
        <f t="shared" si="79"/>
        <v>0</v>
      </c>
      <c r="AE142" s="27">
        <f t="shared" si="80"/>
        <v>0</v>
      </c>
      <c r="AF142" s="27">
        <f t="shared" si="81"/>
        <v>0</v>
      </c>
      <c r="AG142" s="27">
        <f t="shared" si="82"/>
        <v>0</v>
      </c>
      <c r="AH142" s="27">
        <f t="shared" si="83"/>
        <v>0</v>
      </c>
      <c r="AI142" s="27">
        <f t="shared" si="84"/>
        <v>0</v>
      </c>
      <c r="AJ142" s="27">
        <f t="shared" si="85"/>
        <v>0</v>
      </c>
      <c r="AK142" s="27">
        <f t="shared" si="86"/>
        <v>0</v>
      </c>
    </row>
    <row r="143" spans="1:37" ht="19.5" customHeight="1">
      <c r="A143" s="103" t="s">
        <v>785</v>
      </c>
      <c r="B143" s="103" t="s">
        <v>676</v>
      </c>
      <c r="C143" s="104" t="s">
        <v>34</v>
      </c>
      <c r="D143" s="105">
        <v>15</v>
      </c>
      <c r="E143" s="106"/>
      <c r="F143" s="106">
        <f t="shared" si="62"/>
        <v>0</v>
      </c>
      <c r="G143" s="106"/>
      <c r="H143" s="106">
        <f t="shared" si="63"/>
        <v>0</v>
      </c>
      <c r="I143" s="106"/>
      <c r="J143" s="106">
        <f t="shared" si="64"/>
        <v>0</v>
      </c>
      <c r="K143" s="106">
        <f t="shared" si="65"/>
        <v>0</v>
      </c>
      <c r="L143" s="106">
        <f t="shared" si="66"/>
        <v>0</v>
      </c>
      <c r="M143" s="108"/>
      <c r="P143" s="31" t="s">
        <v>452</v>
      </c>
      <c r="Q143" s="27">
        <v>1</v>
      </c>
      <c r="R143" s="27">
        <f t="shared" si="67"/>
        <v>0</v>
      </c>
      <c r="S143" s="27">
        <f t="shared" si="68"/>
        <v>0</v>
      </c>
      <c r="T143" s="27">
        <f t="shared" si="69"/>
        <v>0</v>
      </c>
      <c r="U143" s="27">
        <f t="shared" si="70"/>
        <v>0</v>
      </c>
      <c r="V143" s="27">
        <f t="shared" si="71"/>
        <v>0</v>
      </c>
      <c r="W143" s="27">
        <f t="shared" si="72"/>
        <v>0</v>
      </c>
      <c r="X143" s="27">
        <f t="shared" si="73"/>
        <v>0</v>
      </c>
      <c r="Y143" s="27">
        <f t="shared" si="74"/>
        <v>0</v>
      </c>
      <c r="Z143" s="27">
        <f t="shared" si="75"/>
        <v>0</v>
      </c>
      <c r="AA143" s="27">
        <f t="shared" si="76"/>
        <v>0</v>
      </c>
      <c r="AB143" s="27">
        <f t="shared" si="77"/>
        <v>0</v>
      </c>
      <c r="AC143" s="27">
        <f t="shared" si="78"/>
        <v>0</v>
      </c>
      <c r="AD143" s="27">
        <f t="shared" si="79"/>
        <v>0</v>
      </c>
      <c r="AE143" s="27">
        <f t="shared" si="80"/>
        <v>0</v>
      </c>
      <c r="AF143" s="27">
        <f t="shared" si="81"/>
        <v>0</v>
      </c>
      <c r="AG143" s="27">
        <f t="shared" si="82"/>
        <v>0</v>
      </c>
      <c r="AH143" s="27">
        <f t="shared" si="83"/>
        <v>0</v>
      </c>
      <c r="AI143" s="27">
        <f t="shared" si="84"/>
        <v>0</v>
      </c>
      <c r="AJ143" s="27">
        <f t="shared" si="85"/>
        <v>0</v>
      </c>
      <c r="AK143" s="27">
        <f t="shared" si="86"/>
        <v>0</v>
      </c>
    </row>
    <row r="144" spans="1:37" ht="19.5" customHeight="1">
      <c r="A144" s="103"/>
      <c r="B144" s="103"/>
      <c r="C144" s="104"/>
      <c r="D144" s="105"/>
      <c r="E144" s="106"/>
      <c r="F144" s="106"/>
      <c r="G144" s="106"/>
      <c r="H144" s="106"/>
      <c r="I144" s="106"/>
      <c r="J144" s="106"/>
      <c r="K144" s="106"/>
      <c r="L144" s="106"/>
      <c r="M144" s="108"/>
      <c r="P144" s="31"/>
    </row>
    <row r="145" spans="1:38" ht="19.5" customHeight="1">
      <c r="A145" s="124" t="s">
        <v>930</v>
      </c>
      <c r="B145" s="119"/>
      <c r="C145" s="120"/>
      <c r="D145" s="121"/>
      <c r="E145" s="122"/>
      <c r="F145" s="122">
        <f>SUMIF($Q$125:$Q$143, 1,$F$125:$F$143)</f>
        <v>0</v>
      </c>
      <c r="G145" s="122"/>
      <c r="H145" s="122">
        <f>SUMIF($Q$125:$Q$143, 1,$H$125:$H$143)</f>
        <v>0</v>
      </c>
      <c r="I145" s="122"/>
      <c r="J145" s="122">
        <f>SUMIF($Q$125:$Q$143, 1,$J$125:$J$143)</f>
        <v>0</v>
      </c>
      <c r="K145" s="122"/>
      <c r="L145" s="122">
        <f>F145+H145+J145</f>
        <v>0</v>
      </c>
      <c r="M145" s="121"/>
      <c r="R145" s="27">
        <f>SUM($R$125:$R$143)</f>
        <v>0</v>
      </c>
      <c r="S145" s="27">
        <f>SUM($S$125:$S$143)</f>
        <v>0</v>
      </c>
      <c r="T145" s="27">
        <f>SUM($T$125:$T$143)</f>
        <v>0</v>
      </c>
      <c r="U145" s="27">
        <f>SUM($U$125:$U$143)</f>
        <v>0</v>
      </c>
      <c r="V145" s="27">
        <f>SUM($V$125:$V$143)</f>
        <v>0</v>
      </c>
      <c r="W145" s="27">
        <f>SUM($W$125:$W$143)</f>
        <v>0</v>
      </c>
      <c r="X145" s="27">
        <f>SUM($X$125:$X$143)</f>
        <v>0</v>
      </c>
      <c r="Y145" s="27">
        <f>SUM($Y$125:$Y$143)</f>
        <v>0</v>
      </c>
      <c r="Z145" s="27">
        <f>SUM($Z$125:$Z$143)</f>
        <v>0</v>
      </c>
      <c r="AA145" s="27">
        <f>SUM($AA$125:$AA$143)</f>
        <v>0</v>
      </c>
      <c r="AB145" s="27">
        <f>SUM($AB$125:$AB$143)</f>
        <v>0</v>
      </c>
      <c r="AC145" s="27">
        <f>SUM($AC$125:$AC$143)</f>
        <v>0</v>
      </c>
      <c r="AD145" s="27">
        <f>SUM($AD$125:$AD$143)</f>
        <v>0</v>
      </c>
      <c r="AE145" s="27">
        <f>SUM($AE$125:$AE$143)</f>
        <v>0</v>
      </c>
      <c r="AF145" s="27">
        <f>SUM($AF$125:$AF$143)</f>
        <v>0</v>
      </c>
      <c r="AG145" s="27">
        <f>SUM($AG$125:$AG$143)</f>
        <v>0</v>
      </c>
      <c r="AH145" s="27">
        <f>SUM($AH$125:$AH$143)</f>
        <v>0</v>
      </c>
      <c r="AI145" s="27">
        <f>SUM($AI$125:$AI$143)</f>
        <v>0</v>
      </c>
      <c r="AJ145" s="27">
        <f>SUM($AJ$125:$AJ$143)</f>
        <v>0</v>
      </c>
      <c r="AK145" s="27">
        <f>SUM($AK$125:$AK$143)</f>
        <v>0</v>
      </c>
      <c r="AL145" s="27">
        <f>SUM($AL$125:$AL$143)</f>
        <v>0</v>
      </c>
    </row>
    <row r="146" spans="1:38" ht="20.100000000000001" customHeight="1">
      <c r="A146" s="64" t="s">
        <v>845</v>
      </c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118"/>
    </row>
    <row r="147" spans="1:38" ht="20.100000000000001" customHeight="1">
      <c r="A147" s="103" t="s">
        <v>926</v>
      </c>
      <c r="B147" s="103" t="s">
        <v>931</v>
      </c>
      <c r="C147" s="104" t="s">
        <v>237</v>
      </c>
      <c r="D147" s="105">
        <v>3</v>
      </c>
      <c r="E147" s="106"/>
      <c r="F147" s="106">
        <f t="shared" ref="F147:F159" si="87">ROUNDDOWN(D147*E147,0)</f>
        <v>0</v>
      </c>
      <c r="G147" s="106"/>
      <c r="H147" s="106">
        <f t="shared" ref="H147:H159" si="88">ROUNDDOWN(D147*G147,0)</f>
        <v>0</v>
      </c>
      <c r="I147" s="106"/>
      <c r="J147" s="106">
        <f t="shared" ref="J147:J159" si="89">ROUNDDOWN(D147*I147,0)</f>
        <v>0</v>
      </c>
      <c r="K147" s="106">
        <f t="shared" ref="K147:K159" si="90">E147+G147+I147</f>
        <v>0</v>
      </c>
      <c r="L147" s="106">
        <f t="shared" ref="L147:L159" si="91">F147+H147+J147</f>
        <v>0</v>
      </c>
      <c r="M147" s="108"/>
      <c r="P147" s="31" t="s">
        <v>452</v>
      </c>
      <c r="Q147" s="27">
        <v>1</v>
      </c>
      <c r="R147" s="27">
        <f t="shared" ref="R147:R159" si="92">IF(P147="기계경비",J147,0)</f>
        <v>0</v>
      </c>
      <c r="S147" s="27">
        <f t="shared" ref="S147:S159" si="93">IF(P147="운반비",J147,0)</f>
        <v>0</v>
      </c>
      <c r="T147" s="27">
        <f t="shared" ref="T147:T159" si="94">IF(P147="작업부산물",F147,0)</f>
        <v>0</v>
      </c>
      <c r="U147" s="27">
        <f t="shared" ref="U147:U159" si="95">IF(P147="관급",ROUNDDOWN(D147*E147,0),0)+IF(P147="지급",ROUNDDOWN(D147*E147,0),0)</f>
        <v>0</v>
      </c>
      <c r="V147" s="27">
        <f t="shared" ref="V147:V159" si="96">IF(P147="외주비",F147+H147+J147,0)</f>
        <v>0</v>
      </c>
      <c r="W147" s="27">
        <f t="shared" ref="W147:W159" si="97">IF(P147="장비비",F147+H147+J147,0)</f>
        <v>0</v>
      </c>
      <c r="X147" s="27">
        <f t="shared" ref="X147:X159" si="98">IF(P147="폐기물처리비",J147,0)</f>
        <v>0</v>
      </c>
      <c r="Y147" s="27">
        <f t="shared" ref="Y147:Y159" si="99">IF(P147="가설비",J147,0)</f>
        <v>0</v>
      </c>
      <c r="Z147" s="27">
        <f t="shared" ref="Z147:Z159" si="100">IF(P147="잡비제외분",F147,0)</f>
        <v>0</v>
      </c>
      <c r="AA147" s="27">
        <f t="shared" ref="AA147:AA159" si="101">IF(P147="사급자재대",L147,0)</f>
        <v>0</v>
      </c>
      <c r="AB147" s="27">
        <f t="shared" ref="AB147:AB159" si="102">IF(P147="관급자재대",L147,0)</f>
        <v>0</v>
      </c>
      <c r="AC147" s="27">
        <f t="shared" ref="AC147:AC159" si="103">IF(P147="사용자항목1",L147,0)</f>
        <v>0</v>
      </c>
      <c r="AD147" s="27">
        <f t="shared" ref="AD147:AD159" si="104">IF(P147="사용자항목2",L147,0)</f>
        <v>0</v>
      </c>
      <c r="AE147" s="27">
        <f t="shared" ref="AE147:AE159" si="105">IF(P147="사용자항목3",L147,0)</f>
        <v>0</v>
      </c>
      <c r="AF147" s="27">
        <f t="shared" ref="AF147:AF159" si="106">IF(P147="사용자항목4",L147,0)</f>
        <v>0</v>
      </c>
      <c r="AG147" s="27">
        <f t="shared" ref="AG147:AG159" si="107">IF(P147="사용자항목5",L147,0)</f>
        <v>0</v>
      </c>
      <c r="AH147" s="27">
        <f t="shared" ref="AH147:AH159" si="108">IF(P147="사용자항목6",L147,0)</f>
        <v>0</v>
      </c>
      <c r="AI147" s="27">
        <f t="shared" ref="AI147:AI159" si="109">IF(P147="사용자항목7",L147,0)</f>
        <v>0</v>
      </c>
      <c r="AJ147" s="27">
        <f t="shared" ref="AJ147:AJ159" si="110">IF(P147="사용자항목8",L147,0)</f>
        <v>0</v>
      </c>
      <c r="AK147" s="27">
        <f t="shared" ref="AK147:AK159" si="111">IF(P147="사용자항목9",L147,0)</f>
        <v>0</v>
      </c>
    </row>
    <row r="148" spans="1:38" ht="20.100000000000001" customHeight="1">
      <c r="A148" s="103" t="s">
        <v>45</v>
      </c>
      <c r="B148" s="103" t="s">
        <v>46</v>
      </c>
      <c r="C148" s="104" t="s">
        <v>26</v>
      </c>
      <c r="D148" s="105">
        <f>Sheet1!D33</f>
        <v>214</v>
      </c>
      <c r="E148" s="106"/>
      <c r="F148" s="106">
        <f t="shared" si="87"/>
        <v>0</v>
      </c>
      <c r="G148" s="106"/>
      <c r="H148" s="106">
        <f t="shared" si="88"/>
        <v>0</v>
      </c>
      <c r="I148" s="106"/>
      <c r="J148" s="106">
        <f t="shared" si="89"/>
        <v>0</v>
      </c>
      <c r="K148" s="106">
        <f t="shared" si="90"/>
        <v>0</v>
      </c>
      <c r="L148" s="106">
        <f t="shared" si="91"/>
        <v>0</v>
      </c>
      <c r="M148" s="107"/>
      <c r="O148" s="31" t="s">
        <v>457</v>
      </c>
      <c r="P148" s="31" t="s">
        <v>452</v>
      </c>
      <c r="Q148" s="27">
        <v>1</v>
      </c>
      <c r="R148" s="27">
        <f t="shared" si="92"/>
        <v>0</v>
      </c>
      <c r="S148" s="27">
        <f t="shared" si="93"/>
        <v>0</v>
      </c>
      <c r="T148" s="27">
        <f t="shared" si="94"/>
        <v>0</v>
      </c>
      <c r="U148" s="27">
        <f t="shared" si="95"/>
        <v>0</v>
      </c>
      <c r="V148" s="27">
        <f t="shared" si="96"/>
        <v>0</v>
      </c>
      <c r="W148" s="27">
        <f t="shared" si="97"/>
        <v>0</v>
      </c>
      <c r="X148" s="27">
        <f t="shared" si="98"/>
        <v>0</v>
      </c>
      <c r="Y148" s="27">
        <f t="shared" si="99"/>
        <v>0</v>
      </c>
      <c r="Z148" s="27">
        <f t="shared" si="100"/>
        <v>0</v>
      </c>
      <c r="AA148" s="27">
        <f t="shared" si="101"/>
        <v>0</v>
      </c>
      <c r="AB148" s="27">
        <f t="shared" si="102"/>
        <v>0</v>
      </c>
      <c r="AC148" s="27">
        <f t="shared" si="103"/>
        <v>0</v>
      </c>
      <c r="AD148" s="27">
        <f t="shared" si="104"/>
        <v>0</v>
      </c>
      <c r="AE148" s="27">
        <f t="shared" si="105"/>
        <v>0</v>
      </c>
      <c r="AF148" s="27">
        <f t="shared" si="106"/>
        <v>0</v>
      </c>
      <c r="AG148" s="27">
        <f t="shared" si="107"/>
        <v>0</v>
      </c>
      <c r="AH148" s="27">
        <f t="shared" si="108"/>
        <v>0</v>
      </c>
      <c r="AI148" s="27">
        <f t="shared" si="109"/>
        <v>0</v>
      </c>
      <c r="AJ148" s="27">
        <f t="shared" si="110"/>
        <v>0</v>
      </c>
      <c r="AK148" s="27">
        <f t="shared" si="111"/>
        <v>0</v>
      </c>
    </row>
    <row r="149" spans="1:38" ht="20.100000000000001" customHeight="1">
      <c r="A149" s="103" t="s">
        <v>45</v>
      </c>
      <c r="B149" s="103" t="s">
        <v>50</v>
      </c>
      <c r="C149" s="104" t="s">
        <v>26</v>
      </c>
      <c r="D149" s="105">
        <f>ROUNDUP(Sheet1!E33-(0.9*2.1)*23,0)</f>
        <v>273</v>
      </c>
      <c r="E149" s="106"/>
      <c r="F149" s="106">
        <f t="shared" si="87"/>
        <v>0</v>
      </c>
      <c r="G149" s="106"/>
      <c r="H149" s="106">
        <f t="shared" si="88"/>
        <v>0</v>
      </c>
      <c r="I149" s="106"/>
      <c r="J149" s="106">
        <f t="shared" si="89"/>
        <v>0</v>
      </c>
      <c r="K149" s="106">
        <f t="shared" si="90"/>
        <v>0</v>
      </c>
      <c r="L149" s="106">
        <f t="shared" si="91"/>
        <v>0</v>
      </c>
      <c r="M149" s="107"/>
      <c r="O149" s="31" t="s">
        <v>457</v>
      </c>
      <c r="P149" s="31" t="s">
        <v>452</v>
      </c>
      <c r="Q149" s="27">
        <v>1</v>
      </c>
      <c r="R149" s="27">
        <f t="shared" si="92"/>
        <v>0</v>
      </c>
      <c r="S149" s="27">
        <f t="shared" si="93"/>
        <v>0</v>
      </c>
      <c r="T149" s="27">
        <f t="shared" si="94"/>
        <v>0</v>
      </c>
      <c r="U149" s="27">
        <f t="shared" si="95"/>
        <v>0</v>
      </c>
      <c r="V149" s="27">
        <f t="shared" si="96"/>
        <v>0</v>
      </c>
      <c r="W149" s="27">
        <f t="shared" si="97"/>
        <v>0</v>
      </c>
      <c r="X149" s="27">
        <f t="shared" si="98"/>
        <v>0</v>
      </c>
      <c r="Y149" s="27">
        <f t="shared" si="99"/>
        <v>0</v>
      </c>
      <c r="Z149" s="27">
        <f t="shared" si="100"/>
        <v>0</v>
      </c>
      <c r="AA149" s="27">
        <f t="shared" si="101"/>
        <v>0</v>
      </c>
      <c r="AB149" s="27">
        <f t="shared" si="102"/>
        <v>0</v>
      </c>
      <c r="AC149" s="27">
        <f t="shared" si="103"/>
        <v>0</v>
      </c>
      <c r="AD149" s="27">
        <f t="shared" si="104"/>
        <v>0</v>
      </c>
      <c r="AE149" s="27">
        <f t="shared" si="105"/>
        <v>0</v>
      </c>
      <c r="AF149" s="27">
        <f t="shared" si="106"/>
        <v>0</v>
      </c>
      <c r="AG149" s="27">
        <f t="shared" si="107"/>
        <v>0</v>
      </c>
      <c r="AH149" s="27">
        <f t="shared" si="108"/>
        <v>0</v>
      </c>
      <c r="AI149" s="27">
        <f t="shared" si="109"/>
        <v>0</v>
      </c>
      <c r="AJ149" s="27">
        <f t="shared" si="110"/>
        <v>0</v>
      </c>
      <c r="AK149" s="27">
        <f t="shared" si="111"/>
        <v>0</v>
      </c>
    </row>
    <row r="150" spans="1:38" ht="20.100000000000001" customHeight="1">
      <c r="A150" s="103" t="s">
        <v>45</v>
      </c>
      <c r="B150" s="103" t="s">
        <v>958</v>
      </c>
      <c r="C150" s="104" t="s">
        <v>26</v>
      </c>
      <c r="D150" s="105">
        <f>Sheet1!F33</f>
        <v>24</v>
      </c>
      <c r="E150" s="106"/>
      <c r="F150" s="106">
        <f t="shared" ref="F150:F151" si="112">ROUNDDOWN(D150*E150,0)</f>
        <v>0</v>
      </c>
      <c r="G150" s="106"/>
      <c r="H150" s="106">
        <f t="shared" ref="H150:H151" si="113">ROUNDDOWN(D150*G150,0)</f>
        <v>0</v>
      </c>
      <c r="I150" s="106"/>
      <c r="J150" s="106">
        <f t="shared" ref="J150:J151" si="114">ROUNDDOWN(D150*I150,0)</f>
        <v>0</v>
      </c>
      <c r="K150" s="106">
        <f t="shared" ref="K150:K151" si="115">E150+G150+I150</f>
        <v>0</v>
      </c>
      <c r="L150" s="106">
        <f t="shared" ref="L150:L151" si="116">F150+H150+J150</f>
        <v>0</v>
      </c>
      <c r="M150" s="107"/>
      <c r="O150" s="31" t="s">
        <v>457</v>
      </c>
      <c r="P150" s="31" t="s">
        <v>452</v>
      </c>
      <c r="Q150" s="27">
        <v>1</v>
      </c>
      <c r="R150" s="27">
        <f t="shared" ref="R150:R151" si="117">IF(P150="기계경비",J150,0)</f>
        <v>0</v>
      </c>
      <c r="S150" s="27">
        <f t="shared" ref="S150:S151" si="118">IF(P150="운반비",J150,0)</f>
        <v>0</v>
      </c>
      <c r="T150" s="27">
        <f t="shared" ref="T150:T151" si="119">IF(P150="작업부산물",F150,0)</f>
        <v>0</v>
      </c>
      <c r="U150" s="27">
        <f t="shared" ref="U150:U151" si="120">IF(P150="관급",ROUNDDOWN(D150*E150,0),0)+IF(P150="지급",ROUNDDOWN(D150*E150,0),0)</f>
        <v>0</v>
      </c>
      <c r="V150" s="27">
        <f t="shared" ref="V150:V151" si="121">IF(P150="외주비",F150+H150+J150,0)</f>
        <v>0</v>
      </c>
      <c r="W150" s="27">
        <f t="shared" ref="W150:W151" si="122">IF(P150="장비비",F150+H150+J150,0)</f>
        <v>0</v>
      </c>
      <c r="X150" s="27">
        <f t="shared" ref="X150:X151" si="123">IF(P150="폐기물처리비",J150,0)</f>
        <v>0</v>
      </c>
      <c r="Y150" s="27">
        <f t="shared" ref="Y150:Y151" si="124">IF(P150="가설비",J150,0)</f>
        <v>0</v>
      </c>
      <c r="Z150" s="27">
        <f t="shared" ref="Z150:Z151" si="125">IF(P150="잡비제외분",F150,0)</f>
        <v>0</v>
      </c>
      <c r="AA150" s="27">
        <f t="shared" ref="AA150:AA151" si="126">IF(P150="사급자재대",L150,0)</f>
        <v>0</v>
      </c>
      <c r="AB150" s="27">
        <f t="shared" ref="AB150:AB151" si="127">IF(P150="관급자재대",L150,0)</f>
        <v>0</v>
      </c>
      <c r="AC150" s="27">
        <f t="shared" ref="AC150:AC151" si="128">IF(P150="사용자항목1",L150,0)</f>
        <v>0</v>
      </c>
      <c r="AD150" s="27">
        <f t="shared" ref="AD150:AD151" si="129">IF(P150="사용자항목2",L150,0)</f>
        <v>0</v>
      </c>
      <c r="AE150" s="27">
        <f t="shared" ref="AE150:AE151" si="130">IF(P150="사용자항목3",L150,0)</f>
        <v>0</v>
      </c>
      <c r="AF150" s="27">
        <f t="shared" ref="AF150:AF151" si="131">IF(P150="사용자항목4",L150,0)</f>
        <v>0</v>
      </c>
      <c r="AG150" s="27">
        <f t="shared" ref="AG150:AG151" si="132">IF(P150="사용자항목5",L150,0)</f>
        <v>0</v>
      </c>
      <c r="AH150" s="27">
        <f t="shared" ref="AH150:AH151" si="133">IF(P150="사용자항목6",L150,0)</f>
        <v>0</v>
      </c>
      <c r="AI150" s="27">
        <f t="shared" ref="AI150:AI151" si="134">IF(P150="사용자항목7",L150,0)</f>
        <v>0</v>
      </c>
      <c r="AJ150" s="27">
        <f t="shared" ref="AJ150:AJ151" si="135">IF(P150="사용자항목8",L150,0)</f>
        <v>0</v>
      </c>
      <c r="AK150" s="27">
        <f t="shared" ref="AK150:AK151" si="136">IF(P150="사용자항목9",L150,0)</f>
        <v>0</v>
      </c>
    </row>
    <row r="151" spans="1:38" ht="20.100000000000001" customHeight="1">
      <c r="A151" s="103" t="s">
        <v>45</v>
      </c>
      <c r="B151" s="103" t="s">
        <v>959</v>
      </c>
      <c r="C151" s="104" t="s">
        <v>26</v>
      </c>
      <c r="D151" s="105">
        <f>Sheet1!G33</f>
        <v>68</v>
      </c>
      <c r="E151" s="106"/>
      <c r="F151" s="106">
        <f t="shared" si="112"/>
        <v>0</v>
      </c>
      <c r="G151" s="106"/>
      <c r="H151" s="106">
        <f t="shared" si="113"/>
        <v>0</v>
      </c>
      <c r="I151" s="106"/>
      <c r="J151" s="106">
        <f t="shared" si="114"/>
        <v>0</v>
      </c>
      <c r="K151" s="106">
        <f t="shared" si="115"/>
        <v>0</v>
      </c>
      <c r="L151" s="106">
        <f t="shared" si="116"/>
        <v>0</v>
      </c>
      <c r="M151" s="107"/>
      <c r="O151" s="31" t="s">
        <v>457</v>
      </c>
      <c r="P151" s="31" t="s">
        <v>452</v>
      </c>
      <c r="Q151" s="27">
        <v>1</v>
      </c>
      <c r="R151" s="27">
        <f t="shared" si="117"/>
        <v>0</v>
      </c>
      <c r="S151" s="27">
        <f t="shared" si="118"/>
        <v>0</v>
      </c>
      <c r="T151" s="27">
        <f t="shared" si="119"/>
        <v>0</v>
      </c>
      <c r="U151" s="27">
        <f t="shared" si="120"/>
        <v>0</v>
      </c>
      <c r="V151" s="27">
        <f t="shared" si="121"/>
        <v>0</v>
      </c>
      <c r="W151" s="27">
        <f t="shared" si="122"/>
        <v>0</v>
      </c>
      <c r="X151" s="27">
        <f t="shared" si="123"/>
        <v>0</v>
      </c>
      <c r="Y151" s="27">
        <f t="shared" si="124"/>
        <v>0</v>
      </c>
      <c r="Z151" s="27">
        <f t="shared" si="125"/>
        <v>0</v>
      </c>
      <c r="AA151" s="27">
        <f t="shared" si="126"/>
        <v>0</v>
      </c>
      <c r="AB151" s="27">
        <f t="shared" si="127"/>
        <v>0</v>
      </c>
      <c r="AC151" s="27">
        <f t="shared" si="128"/>
        <v>0</v>
      </c>
      <c r="AD151" s="27">
        <f t="shared" si="129"/>
        <v>0</v>
      </c>
      <c r="AE151" s="27">
        <f t="shared" si="130"/>
        <v>0</v>
      </c>
      <c r="AF151" s="27">
        <f t="shared" si="131"/>
        <v>0</v>
      </c>
      <c r="AG151" s="27">
        <f t="shared" si="132"/>
        <v>0</v>
      </c>
      <c r="AH151" s="27">
        <f t="shared" si="133"/>
        <v>0</v>
      </c>
      <c r="AI151" s="27">
        <f t="shared" si="134"/>
        <v>0</v>
      </c>
      <c r="AJ151" s="27">
        <f t="shared" si="135"/>
        <v>0</v>
      </c>
      <c r="AK151" s="27">
        <f t="shared" si="136"/>
        <v>0</v>
      </c>
    </row>
    <row r="152" spans="1:38" ht="20.100000000000001" customHeight="1">
      <c r="A152" s="103" t="s">
        <v>787</v>
      </c>
      <c r="B152" s="103" t="s">
        <v>677</v>
      </c>
      <c r="C152" s="104" t="s">
        <v>26</v>
      </c>
      <c r="D152" s="105">
        <v>129</v>
      </c>
      <c r="E152" s="106"/>
      <c r="F152" s="106">
        <f t="shared" si="87"/>
        <v>0</v>
      </c>
      <c r="G152" s="106"/>
      <c r="H152" s="106">
        <f t="shared" si="88"/>
        <v>0</v>
      </c>
      <c r="I152" s="106"/>
      <c r="J152" s="106">
        <f t="shared" si="89"/>
        <v>0</v>
      </c>
      <c r="K152" s="106">
        <f t="shared" si="90"/>
        <v>0</v>
      </c>
      <c r="L152" s="106">
        <f t="shared" si="91"/>
        <v>0</v>
      </c>
      <c r="M152" s="108"/>
      <c r="P152" s="31" t="s">
        <v>452</v>
      </c>
      <c r="Q152" s="27">
        <v>1</v>
      </c>
      <c r="R152" s="27">
        <f t="shared" si="92"/>
        <v>0</v>
      </c>
      <c r="S152" s="27">
        <f t="shared" si="93"/>
        <v>0</v>
      </c>
      <c r="T152" s="27">
        <f t="shared" si="94"/>
        <v>0</v>
      </c>
      <c r="U152" s="27">
        <f t="shared" si="95"/>
        <v>0</v>
      </c>
      <c r="V152" s="27">
        <f t="shared" si="96"/>
        <v>0</v>
      </c>
      <c r="W152" s="27">
        <f t="shared" si="97"/>
        <v>0</v>
      </c>
      <c r="X152" s="27">
        <f t="shared" si="98"/>
        <v>0</v>
      </c>
      <c r="Y152" s="27">
        <f t="shared" si="99"/>
        <v>0</v>
      </c>
      <c r="Z152" s="27">
        <f t="shared" si="100"/>
        <v>0</v>
      </c>
      <c r="AA152" s="27">
        <f t="shared" si="101"/>
        <v>0</v>
      </c>
      <c r="AB152" s="27">
        <f t="shared" si="102"/>
        <v>0</v>
      </c>
      <c r="AC152" s="27">
        <f t="shared" si="103"/>
        <v>0</v>
      </c>
      <c r="AD152" s="27">
        <f t="shared" si="104"/>
        <v>0</v>
      </c>
      <c r="AE152" s="27">
        <f t="shared" si="105"/>
        <v>0</v>
      </c>
      <c r="AF152" s="27">
        <f t="shared" si="106"/>
        <v>0</v>
      </c>
      <c r="AG152" s="27">
        <f t="shared" si="107"/>
        <v>0</v>
      </c>
      <c r="AH152" s="27">
        <f t="shared" si="108"/>
        <v>0</v>
      </c>
      <c r="AI152" s="27">
        <f t="shared" si="109"/>
        <v>0</v>
      </c>
      <c r="AJ152" s="27">
        <f t="shared" si="110"/>
        <v>0</v>
      </c>
      <c r="AK152" s="27">
        <f t="shared" si="111"/>
        <v>0</v>
      </c>
    </row>
    <row r="153" spans="1:38" ht="20.100000000000001" customHeight="1">
      <c r="A153" s="103" t="s">
        <v>235</v>
      </c>
      <c r="B153" s="103" t="s">
        <v>236</v>
      </c>
      <c r="C153" s="104" t="s">
        <v>237</v>
      </c>
      <c r="D153" s="105">
        <v>2</v>
      </c>
      <c r="E153" s="106"/>
      <c r="F153" s="106">
        <f t="shared" si="87"/>
        <v>0</v>
      </c>
      <c r="G153" s="106"/>
      <c r="H153" s="106">
        <f t="shared" si="88"/>
        <v>0</v>
      </c>
      <c r="I153" s="106"/>
      <c r="J153" s="106">
        <f t="shared" si="89"/>
        <v>0</v>
      </c>
      <c r="K153" s="106">
        <f t="shared" si="90"/>
        <v>0</v>
      </c>
      <c r="L153" s="106">
        <f t="shared" si="91"/>
        <v>0</v>
      </c>
      <c r="M153" s="107"/>
      <c r="O153" s="31" t="s">
        <v>457</v>
      </c>
      <c r="P153" s="31" t="s">
        <v>452</v>
      </c>
      <c r="Q153" s="27">
        <v>1</v>
      </c>
      <c r="R153" s="27">
        <f t="shared" si="92"/>
        <v>0</v>
      </c>
      <c r="S153" s="27">
        <f t="shared" si="93"/>
        <v>0</v>
      </c>
      <c r="T153" s="27">
        <f t="shared" si="94"/>
        <v>0</v>
      </c>
      <c r="U153" s="27">
        <f t="shared" si="95"/>
        <v>0</v>
      </c>
      <c r="V153" s="27">
        <f t="shared" si="96"/>
        <v>0</v>
      </c>
      <c r="W153" s="27">
        <f t="shared" si="97"/>
        <v>0</v>
      </c>
      <c r="X153" s="27">
        <f t="shared" si="98"/>
        <v>0</v>
      </c>
      <c r="Y153" s="27">
        <f t="shared" si="99"/>
        <v>0</v>
      </c>
      <c r="Z153" s="27">
        <f t="shared" si="100"/>
        <v>0</v>
      </c>
      <c r="AA153" s="27">
        <f t="shared" si="101"/>
        <v>0</v>
      </c>
      <c r="AB153" s="27">
        <f t="shared" si="102"/>
        <v>0</v>
      </c>
      <c r="AC153" s="27">
        <f t="shared" si="103"/>
        <v>0</v>
      </c>
      <c r="AD153" s="27">
        <f t="shared" si="104"/>
        <v>0</v>
      </c>
      <c r="AE153" s="27">
        <f t="shared" si="105"/>
        <v>0</v>
      </c>
      <c r="AF153" s="27">
        <f t="shared" si="106"/>
        <v>0</v>
      </c>
      <c r="AG153" s="27">
        <f t="shared" si="107"/>
        <v>0</v>
      </c>
      <c r="AH153" s="27">
        <f t="shared" si="108"/>
        <v>0</v>
      </c>
      <c r="AI153" s="27">
        <f t="shared" si="109"/>
        <v>0</v>
      </c>
      <c r="AJ153" s="27">
        <f t="shared" si="110"/>
        <v>0</v>
      </c>
      <c r="AK153" s="27">
        <f t="shared" si="111"/>
        <v>0</v>
      </c>
    </row>
    <row r="154" spans="1:38" ht="20.100000000000001" customHeight="1">
      <c r="A154" s="103" t="s">
        <v>789</v>
      </c>
      <c r="B154" s="103" t="s">
        <v>905</v>
      </c>
      <c r="C154" s="104" t="s">
        <v>26</v>
      </c>
      <c r="D154" s="105">
        <v>1259</v>
      </c>
      <c r="E154" s="106"/>
      <c r="F154" s="106">
        <f t="shared" si="87"/>
        <v>0</v>
      </c>
      <c r="G154" s="106"/>
      <c r="H154" s="106">
        <f t="shared" si="88"/>
        <v>0</v>
      </c>
      <c r="I154" s="106"/>
      <c r="J154" s="106">
        <f t="shared" si="89"/>
        <v>0</v>
      </c>
      <c r="K154" s="106">
        <f t="shared" si="90"/>
        <v>0</v>
      </c>
      <c r="L154" s="106">
        <f t="shared" si="91"/>
        <v>0</v>
      </c>
      <c r="M154" s="108"/>
      <c r="P154" s="31" t="s">
        <v>452</v>
      </c>
      <c r="Q154" s="27">
        <v>1</v>
      </c>
      <c r="R154" s="27">
        <f t="shared" si="92"/>
        <v>0</v>
      </c>
      <c r="S154" s="27">
        <f t="shared" si="93"/>
        <v>0</v>
      </c>
      <c r="T154" s="27">
        <f t="shared" si="94"/>
        <v>0</v>
      </c>
      <c r="U154" s="27">
        <f t="shared" si="95"/>
        <v>0</v>
      </c>
      <c r="V154" s="27">
        <f t="shared" si="96"/>
        <v>0</v>
      </c>
      <c r="W154" s="27">
        <f t="shared" si="97"/>
        <v>0</v>
      </c>
      <c r="X154" s="27">
        <f t="shared" si="98"/>
        <v>0</v>
      </c>
      <c r="Y154" s="27">
        <f t="shared" si="99"/>
        <v>0</v>
      </c>
      <c r="Z154" s="27">
        <f t="shared" si="100"/>
        <v>0</v>
      </c>
      <c r="AA154" s="27">
        <f t="shared" si="101"/>
        <v>0</v>
      </c>
      <c r="AB154" s="27">
        <f t="shared" si="102"/>
        <v>0</v>
      </c>
      <c r="AC154" s="27">
        <f t="shared" si="103"/>
        <v>0</v>
      </c>
      <c r="AD154" s="27">
        <f t="shared" si="104"/>
        <v>0</v>
      </c>
      <c r="AE154" s="27">
        <f t="shared" si="105"/>
        <v>0</v>
      </c>
      <c r="AF154" s="27">
        <f t="shared" si="106"/>
        <v>0</v>
      </c>
      <c r="AG154" s="27">
        <f t="shared" si="107"/>
        <v>0</v>
      </c>
      <c r="AH154" s="27">
        <f t="shared" si="108"/>
        <v>0</v>
      </c>
      <c r="AI154" s="27">
        <f t="shared" si="109"/>
        <v>0</v>
      </c>
      <c r="AJ154" s="27">
        <f t="shared" si="110"/>
        <v>0</v>
      </c>
      <c r="AK154" s="27">
        <f t="shared" si="111"/>
        <v>0</v>
      </c>
    </row>
    <row r="155" spans="1:38" ht="20.100000000000001" customHeight="1">
      <c r="A155" s="103" t="s">
        <v>791</v>
      </c>
      <c r="B155" s="103" t="s">
        <v>688</v>
      </c>
      <c r="C155" s="104" t="s">
        <v>34</v>
      </c>
      <c r="D155" s="105">
        <v>6</v>
      </c>
      <c r="E155" s="106"/>
      <c r="F155" s="106">
        <f t="shared" si="87"/>
        <v>0</v>
      </c>
      <c r="G155" s="106"/>
      <c r="H155" s="106">
        <f t="shared" si="88"/>
        <v>0</v>
      </c>
      <c r="I155" s="106"/>
      <c r="J155" s="106">
        <f t="shared" si="89"/>
        <v>0</v>
      </c>
      <c r="K155" s="106">
        <f t="shared" si="90"/>
        <v>0</v>
      </c>
      <c r="L155" s="106">
        <f t="shared" si="91"/>
        <v>0</v>
      </c>
      <c r="M155" s="108"/>
      <c r="P155" s="31" t="s">
        <v>452</v>
      </c>
      <c r="Q155" s="27">
        <v>1</v>
      </c>
      <c r="R155" s="27">
        <f t="shared" si="92"/>
        <v>0</v>
      </c>
      <c r="S155" s="27">
        <f t="shared" si="93"/>
        <v>0</v>
      </c>
      <c r="T155" s="27">
        <f t="shared" si="94"/>
        <v>0</v>
      </c>
      <c r="U155" s="27">
        <f t="shared" si="95"/>
        <v>0</v>
      </c>
      <c r="V155" s="27">
        <f t="shared" si="96"/>
        <v>0</v>
      </c>
      <c r="W155" s="27">
        <f t="shared" si="97"/>
        <v>0</v>
      </c>
      <c r="X155" s="27">
        <f t="shared" si="98"/>
        <v>0</v>
      </c>
      <c r="Y155" s="27">
        <f t="shared" si="99"/>
        <v>0</v>
      </c>
      <c r="Z155" s="27">
        <f t="shared" si="100"/>
        <v>0</v>
      </c>
      <c r="AA155" s="27">
        <f t="shared" si="101"/>
        <v>0</v>
      </c>
      <c r="AB155" s="27">
        <f t="shared" si="102"/>
        <v>0</v>
      </c>
      <c r="AC155" s="27">
        <f t="shared" si="103"/>
        <v>0</v>
      </c>
      <c r="AD155" s="27">
        <f t="shared" si="104"/>
        <v>0</v>
      </c>
      <c r="AE155" s="27">
        <f t="shared" si="105"/>
        <v>0</v>
      </c>
      <c r="AF155" s="27">
        <f t="shared" si="106"/>
        <v>0</v>
      </c>
      <c r="AG155" s="27">
        <f t="shared" si="107"/>
        <v>0</v>
      </c>
      <c r="AH155" s="27">
        <f t="shared" si="108"/>
        <v>0</v>
      </c>
      <c r="AI155" s="27">
        <f t="shared" si="109"/>
        <v>0</v>
      </c>
      <c r="AJ155" s="27">
        <f t="shared" si="110"/>
        <v>0</v>
      </c>
      <c r="AK155" s="27">
        <f t="shared" si="111"/>
        <v>0</v>
      </c>
    </row>
    <row r="156" spans="1:38" ht="20.100000000000001" customHeight="1">
      <c r="A156" s="103" t="s">
        <v>793</v>
      </c>
      <c r="B156" s="103" t="s">
        <v>690</v>
      </c>
      <c r="C156" s="104" t="s">
        <v>26</v>
      </c>
      <c r="D156" s="105">
        <v>28</v>
      </c>
      <c r="E156" s="106"/>
      <c r="F156" s="106">
        <f t="shared" si="87"/>
        <v>0</v>
      </c>
      <c r="G156" s="106"/>
      <c r="H156" s="106">
        <f t="shared" si="88"/>
        <v>0</v>
      </c>
      <c r="I156" s="106"/>
      <c r="J156" s="106">
        <f t="shared" si="89"/>
        <v>0</v>
      </c>
      <c r="K156" s="106">
        <f t="shared" si="90"/>
        <v>0</v>
      </c>
      <c r="L156" s="106">
        <f t="shared" si="91"/>
        <v>0</v>
      </c>
      <c r="M156" s="108"/>
      <c r="P156" s="31" t="s">
        <v>452</v>
      </c>
      <c r="Q156" s="27">
        <v>1</v>
      </c>
      <c r="R156" s="27">
        <f t="shared" si="92"/>
        <v>0</v>
      </c>
      <c r="S156" s="27">
        <f t="shared" si="93"/>
        <v>0</v>
      </c>
      <c r="T156" s="27">
        <f t="shared" si="94"/>
        <v>0</v>
      </c>
      <c r="U156" s="27">
        <f t="shared" si="95"/>
        <v>0</v>
      </c>
      <c r="V156" s="27">
        <f t="shared" si="96"/>
        <v>0</v>
      </c>
      <c r="W156" s="27">
        <f t="shared" si="97"/>
        <v>0</v>
      </c>
      <c r="X156" s="27">
        <f t="shared" si="98"/>
        <v>0</v>
      </c>
      <c r="Y156" s="27">
        <f t="shared" si="99"/>
        <v>0</v>
      </c>
      <c r="Z156" s="27">
        <f t="shared" si="100"/>
        <v>0</v>
      </c>
      <c r="AA156" s="27">
        <f t="shared" si="101"/>
        <v>0</v>
      </c>
      <c r="AB156" s="27">
        <f t="shared" si="102"/>
        <v>0</v>
      </c>
      <c r="AC156" s="27">
        <f t="shared" si="103"/>
        <v>0</v>
      </c>
      <c r="AD156" s="27">
        <f t="shared" si="104"/>
        <v>0</v>
      </c>
      <c r="AE156" s="27">
        <f t="shared" si="105"/>
        <v>0</v>
      </c>
      <c r="AF156" s="27">
        <f t="shared" si="106"/>
        <v>0</v>
      </c>
      <c r="AG156" s="27">
        <f t="shared" si="107"/>
        <v>0</v>
      </c>
      <c r="AH156" s="27">
        <f t="shared" si="108"/>
        <v>0</v>
      </c>
      <c r="AI156" s="27">
        <f t="shared" si="109"/>
        <v>0</v>
      </c>
      <c r="AJ156" s="27">
        <f t="shared" si="110"/>
        <v>0</v>
      </c>
      <c r="AK156" s="27">
        <f t="shared" si="111"/>
        <v>0</v>
      </c>
    </row>
    <row r="157" spans="1:38" ht="20.100000000000001" customHeight="1">
      <c r="A157" s="103" t="s">
        <v>795</v>
      </c>
      <c r="B157" s="103" t="s">
        <v>694</v>
      </c>
      <c r="C157" s="104" t="s">
        <v>26</v>
      </c>
      <c r="D157" s="105">
        <v>28</v>
      </c>
      <c r="E157" s="106"/>
      <c r="F157" s="106">
        <f t="shared" si="87"/>
        <v>0</v>
      </c>
      <c r="G157" s="106"/>
      <c r="H157" s="106">
        <f t="shared" si="88"/>
        <v>0</v>
      </c>
      <c r="I157" s="106"/>
      <c r="J157" s="106">
        <f t="shared" si="89"/>
        <v>0</v>
      </c>
      <c r="K157" s="106">
        <f t="shared" si="90"/>
        <v>0</v>
      </c>
      <c r="L157" s="106">
        <f t="shared" si="91"/>
        <v>0</v>
      </c>
      <c r="M157" s="108"/>
      <c r="P157" s="31" t="s">
        <v>452</v>
      </c>
      <c r="Q157" s="27">
        <v>1</v>
      </c>
      <c r="R157" s="27">
        <f t="shared" si="92"/>
        <v>0</v>
      </c>
      <c r="S157" s="27">
        <f t="shared" si="93"/>
        <v>0</v>
      </c>
      <c r="T157" s="27">
        <f t="shared" si="94"/>
        <v>0</v>
      </c>
      <c r="U157" s="27">
        <f t="shared" si="95"/>
        <v>0</v>
      </c>
      <c r="V157" s="27">
        <f t="shared" si="96"/>
        <v>0</v>
      </c>
      <c r="W157" s="27">
        <f t="shared" si="97"/>
        <v>0</v>
      </c>
      <c r="X157" s="27">
        <f t="shared" si="98"/>
        <v>0</v>
      </c>
      <c r="Y157" s="27">
        <f t="shared" si="99"/>
        <v>0</v>
      </c>
      <c r="Z157" s="27">
        <f t="shared" si="100"/>
        <v>0</v>
      </c>
      <c r="AA157" s="27">
        <f t="shared" si="101"/>
        <v>0</v>
      </c>
      <c r="AB157" s="27">
        <f t="shared" si="102"/>
        <v>0</v>
      </c>
      <c r="AC157" s="27">
        <f t="shared" si="103"/>
        <v>0</v>
      </c>
      <c r="AD157" s="27">
        <f t="shared" si="104"/>
        <v>0</v>
      </c>
      <c r="AE157" s="27">
        <f t="shared" si="105"/>
        <v>0</v>
      </c>
      <c r="AF157" s="27">
        <f t="shared" si="106"/>
        <v>0</v>
      </c>
      <c r="AG157" s="27">
        <f t="shared" si="107"/>
        <v>0</v>
      </c>
      <c r="AH157" s="27">
        <f t="shared" si="108"/>
        <v>0</v>
      </c>
      <c r="AI157" s="27">
        <f t="shared" si="109"/>
        <v>0</v>
      </c>
      <c r="AJ157" s="27">
        <f t="shared" si="110"/>
        <v>0</v>
      </c>
      <c r="AK157" s="27">
        <f t="shared" si="111"/>
        <v>0</v>
      </c>
    </row>
    <row r="158" spans="1:38" ht="20.100000000000001" customHeight="1">
      <c r="A158" s="103" t="s">
        <v>797</v>
      </c>
      <c r="B158" s="103" t="s">
        <v>695</v>
      </c>
      <c r="C158" s="104" t="s">
        <v>26</v>
      </c>
      <c r="D158" s="105">
        <v>28</v>
      </c>
      <c r="E158" s="106"/>
      <c r="F158" s="106">
        <f t="shared" si="87"/>
        <v>0</v>
      </c>
      <c r="G158" s="106"/>
      <c r="H158" s="106">
        <f t="shared" si="88"/>
        <v>0</v>
      </c>
      <c r="I158" s="106"/>
      <c r="J158" s="106">
        <f t="shared" si="89"/>
        <v>0</v>
      </c>
      <c r="K158" s="106">
        <f t="shared" si="90"/>
        <v>0</v>
      </c>
      <c r="L158" s="106">
        <f t="shared" si="91"/>
        <v>0</v>
      </c>
      <c r="M158" s="108"/>
      <c r="P158" s="31" t="s">
        <v>452</v>
      </c>
      <c r="Q158" s="27">
        <v>1</v>
      </c>
      <c r="R158" s="27">
        <f t="shared" si="92"/>
        <v>0</v>
      </c>
      <c r="S158" s="27">
        <f t="shared" si="93"/>
        <v>0</v>
      </c>
      <c r="T158" s="27">
        <f t="shared" si="94"/>
        <v>0</v>
      </c>
      <c r="U158" s="27">
        <f t="shared" si="95"/>
        <v>0</v>
      </c>
      <c r="V158" s="27">
        <f t="shared" si="96"/>
        <v>0</v>
      </c>
      <c r="W158" s="27">
        <f t="shared" si="97"/>
        <v>0</v>
      </c>
      <c r="X158" s="27">
        <f t="shared" si="98"/>
        <v>0</v>
      </c>
      <c r="Y158" s="27">
        <f t="shared" si="99"/>
        <v>0</v>
      </c>
      <c r="Z158" s="27">
        <f t="shared" si="100"/>
        <v>0</v>
      </c>
      <c r="AA158" s="27">
        <f t="shared" si="101"/>
        <v>0</v>
      </c>
      <c r="AB158" s="27">
        <f t="shared" si="102"/>
        <v>0</v>
      </c>
      <c r="AC158" s="27">
        <f t="shared" si="103"/>
        <v>0</v>
      </c>
      <c r="AD158" s="27">
        <f t="shared" si="104"/>
        <v>0</v>
      </c>
      <c r="AE158" s="27">
        <f t="shared" si="105"/>
        <v>0</v>
      </c>
      <c r="AF158" s="27">
        <f t="shared" si="106"/>
        <v>0</v>
      </c>
      <c r="AG158" s="27">
        <f t="shared" si="107"/>
        <v>0</v>
      </c>
      <c r="AH158" s="27">
        <f t="shared" si="108"/>
        <v>0</v>
      </c>
      <c r="AI158" s="27">
        <f t="shared" si="109"/>
        <v>0</v>
      </c>
      <c r="AJ158" s="27">
        <f t="shared" si="110"/>
        <v>0</v>
      </c>
      <c r="AK158" s="27">
        <f t="shared" si="111"/>
        <v>0</v>
      </c>
    </row>
    <row r="159" spans="1:38" ht="20.100000000000001" customHeight="1">
      <c r="A159" s="103" t="s">
        <v>799</v>
      </c>
      <c r="B159" s="103" t="s">
        <v>696</v>
      </c>
      <c r="C159" s="104" t="s">
        <v>697</v>
      </c>
      <c r="D159" s="105">
        <v>1</v>
      </c>
      <c r="E159" s="106"/>
      <c r="F159" s="106">
        <f t="shared" si="87"/>
        <v>0</v>
      </c>
      <c r="G159" s="106"/>
      <c r="H159" s="106">
        <f t="shared" si="88"/>
        <v>0</v>
      </c>
      <c r="I159" s="106"/>
      <c r="J159" s="106">
        <f t="shared" si="89"/>
        <v>0</v>
      </c>
      <c r="K159" s="106">
        <f t="shared" si="90"/>
        <v>0</v>
      </c>
      <c r="L159" s="106">
        <f t="shared" si="91"/>
        <v>0</v>
      </c>
      <c r="M159" s="108"/>
      <c r="P159" s="31" t="s">
        <v>452</v>
      </c>
      <c r="Q159" s="27">
        <v>1</v>
      </c>
      <c r="R159" s="27">
        <f t="shared" si="92"/>
        <v>0</v>
      </c>
      <c r="S159" s="27">
        <f t="shared" si="93"/>
        <v>0</v>
      </c>
      <c r="T159" s="27">
        <f t="shared" si="94"/>
        <v>0</v>
      </c>
      <c r="U159" s="27">
        <f t="shared" si="95"/>
        <v>0</v>
      </c>
      <c r="V159" s="27">
        <f t="shared" si="96"/>
        <v>0</v>
      </c>
      <c r="W159" s="27">
        <f t="shared" si="97"/>
        <v>0</v>
      </c>
      <c r="X159" s="27">
        <f t="shared" si="98"/>
        <v>0</v>
      </c>
      <c r="Y159" s="27">
        <f t="shared" si="99"/>
        <v>0</v>
      </c>
      <c r="Z159" s="27">
        <f t="shared" si="100"/>
        <v>0</v>
      </c>
      <c r="AA159" s="27">
        <f t="shared" si="101"/>
        <v>0</v>
      </c>
      <c r="AB159" s="27">
        <f t="shared" si="102"/>
        <v>0</v>
      </c>
      <c r="AC159" s="27">
        <f t="shared" si="103"/>
        <v>0</v>
      </c>
      <c r="AD159" s="27">
        <f t="shared" si="104"/>
        <v>0</v>
      </c>
      <c r="AE159" s="27">
        <f t="shared" si="105"/>
        <v>0</v>
      </c>
      <c r="AF159" s="27">
        <f t="shared" si="106"/>
        <v>0</v>
      </c>
      <c r="AG159" s="27">
        <f t="shared" si="107"/>
        <v>0</v>
      </c>
      <c r="AH159" s="27">
        <f t="shared" si="108"/>
        <v>0</v>
      </c>
      <c r="AI159" s="27">
        <f t="shared" si="109"/>
        <v>0</v>
      </c>
      <c r="AJ159" s="27">
        <f t="shared" si="110"/>
        <v>0</v>
      </c>
      <c r="AK159" s="27">
        <f t="shared" si="111"/>
        <v>0</v>
      </c>
    </row>
    <row r="160" spans="1:38" ht="20.100000000000001" customHeight="1">
      <c r="A160" s="103" t="s">
        <v>974</v>
      </c>
      <c r="B160" s="103" t="s">
        <v>975</v>
      </c>
      <c r="C160" s="104" t="s">
        <v>697</v>
      </c>
      <c r="D160" s="105">
        <v>1</v>
      </c>
      <c r="E160" s="106"/>
      <c r="F160" s="106">
        <f t="shared" ref="F160" si="137">ROUNDDOWN(D160*E160,0)</f>
        <v>0</v>
      </c>
      <c r="G160" s="106"/>
      <c r="H160" s="106">
        <f t="shared" ref="H160" si="138">ROUNDDOWN(D160*G160,0)</f>
        <v>0</v>
      </c>
      <c r="I160" s="106"/>
      <c r="J160" s="106">
        <f t="shared" ref="J160" si="139">ROUNDDOWN(D160*I160,0)</f>
        <v>0</v>
      </c>
      <c r="K160" s="106">
        <f t="shared" ref="K160" si="140">E160+G160+I160</f>
        <v>0</v>
      </c>
      <c r="L160" s="106">
        <f t="shared" ref="L160" si="141">F160+H160+J160</f>
        <v>0</v>
      </c>
      <c r="M160" s="107"/>
      <c r="P160" s="31" t="s">
        <v>452</v>
      </c>
      <c r="Q160" s="27">
        <v>1</v>
      </c>
      <c r="R160" s="27">
        <f t="shared" ref="R160" si="142">IF(P160="기계경비",J160,0)</f>
        <v>0</v>
      </c>
      <c r="S160" s="27">
        <f t="shared" ref="S160" si="143">IF(P160="운반비",J160,0)</f>
        <v>0</v>
      </c>
      <c r="T160" s="27">
        <f t="shared" ref="T160" si="144">IF(P160="작업부산물",F160,0)</f>
        <v>0</v>
      </c>
      <c r="U160" s="27">
        <f t="shared" ref="U160" si="145">IF(P160="관급",ROUNDDOWN(D160*E160,0),0)+IF(P160="지급",ROUNDDOWN(D160*E160,0),0)</f>
        <v>0</v>
      </c>
      <c r="V160" s="27">
        <f t="shared" ref="V160" si="146">IF(P160="외주비",F160+H160+J160,0)</f>
        <v>0</v>
      </c>
      <c r="W160" s="27">
        <f t="shared" ref="W160" si="147">IF(P160="장비비",F160+H160+J160,0)</f>
        <v>0</v>
      </c>
      <c r="X160" s="27">
        <f t="shared" ref="X160" si="148">IF(P160="폐기물처리비",J160,0)</f>
        <v>0</v>
      </c>
      <c r="Y160" s="27">
        <f t="shared" ref="Y160" si="149">IF(P160="가설비",J160,0)</f>
        <v>0</v>
      </c>
      <c r="Z160" s="27">
        <f t="shared" ref="Z160" si="150">IF(P160="잡비제외분",F160,0)</f>
        <v>0</v>
      </c>
      <c r="AA160" s="27">
        <f t="shared" ref="AA160" si="151">IF(P160="사급자재대",L160,0)</f>
        <v>0</v>
      </c>
      <c r="AB160" s="27">
        <f t="shared" ref="AB160" si="152">IF(P160="관급자재대",L160,0)</f>
        <v>0</v>
      </c>
      <c r="AC160" s="27">
        <f t="shared" ref="AC160" si="153">IF(P160="사용자항목1",L160,0)</f>
        <v>0</v>
      </c>
      <c r="AD160" s="27">
        <f t="shared" ref="AD160" si="154">IF(P160="사용자항목2",L160,0)</f>
        <v>0</v>
      </c>
      <c r="AE160" s="27">
        <f t="shared" ref="AE160" si="155">IF(P160="사용자항목3",L160,0)</f>
        <v>0</v>
      </c>
      <c r="AF160" s="27">
        <f t="shared" ref="AF160" si="156">IF(P160="사용자항목4",L160,0)</f>
        <v>0</v>
      </c>
      <c r="AG160" s="27">
        <f t="shared" ref="AG160" si="157">IF(P160="사용자항목5",L160,0)</f>
        <v>0</v>
      </c>
      <c r="AH160" s="27">
        <f t="shared" ref="AH160" si="158">IF(P160="사용자항목6",L160,0)</f>
        <v>0</v>
      </c>
      <c r="AI160" s="27">
        <f t="shared" ref="AI160" si="159">IF(P160="사용자항목7",L160,0)</f>
        <v>0</v>
      </c>
      <c r="AJ160" s="27">
        <f t="shared" ref="AJ160" si="160">IF(P160="사용자항목8",L160,0)</f>
        <v>0</v>
      </c>
      <c r="AK160" s="27">
        <f t="shared" ref="AK160" si="161">IF(P160="사용자항목9",L160,0)</f>
        <v>0</v>
      </c>
    </row>
    <row r="161" spans="1:38" ht="20.100000000000001" customHeight="1">
      <c r="A161" s="103"/>
      <c r="B161" s="103"/>
      <c r="C161" s="104"/>
      <c r="D161" s="107"/>
      <c r="E161" s="107"/>
      <c r="F161" s="107"/>
      <c r="G161" s="107"/>
      <c r="H161" s="107"/>
      <c r="I161" s="107"/>
      <c r="J161" s="107"/>
      <c r="K161" s="107"/>
      <c r="L161" s="107"/>
      <c r="M161" s="107"/>
    </row>
    <row r="162" spans="1:38" ht="20.100000000000001" customHeight="1">
      <c r="A162" s="103"/>
      <c r="B162" s="103"/>
      <c r="C162" s="104"/>
      <c r="D162" s="107"/>
      <c r="E162" s="107"/>
      <c r="F162" s="107"/>
      <c r="G162" s="107"/>
      <c r="H162" s="107"/>
      <c r="I162" s="107"/>
      <c r="J162" s="107"/>
      <c r="K162" s="107"/>
      <c r="L162" s="107"/>
      <c r="M162" s="107"/>
    </row>
    <row r="163" spans="1:38" ht="20.100000000000001" customHeight="1">
      <c r="A163" s="103"/>
      <c r="B163" s="103"/>
      <c r="C163" s="104"/>
      <c r="D163" s="107"/>
      <c r="E163" s="107"/>
      <c r="F163" s="107"/>
      <c r="G163" s="107"/>
      <c r="H163" s="107"/>
      <c r="I163" s="107"/>
      <c r="J163" s="107"/>
      <c r="K163" s="107"/>
      <c r="L163" s="107"/>
      <c r="M163" s="107"/>
    </row>
    <row r="164" spans="1:38" ht="20.100000000000001" customHeight="1">
      <c r="A164" s="103"/>
      <c r="B164" s="103"/>
      <c r="C164" s="104"/>
      <c r="D164" s="107"/>
      <c r="E164" s="107"/>
      <c r="F164" s="107"/>
      <c r="G164" s="107"/>
      <c r="H164" s="107"/>
      <c r="I164" s="107"/>
      <c r="J164" s="107"/>
      <c r="K164" s="107"/>
      <c r="L164" s="107"/>
      <c r="M164" s="107"/>
    </row>
    <row r="165" spans="1:38" ht="20.100000000000001" customHeight="1">
      <c r="A165" s="124" t="s">
        <v>930</v>
      </c>
      <c r="B165" s="119"/>
      <c r="C165" s="120"/>
      <c r="D165" s="121"/>
      <c r="E165" s="122"/>
      <c r="F165" s="122">
        <f>SUM(F147:F164)</f>
        <v>0</v>
      </c>
      <c r="G165" s="122"/>
      <c r="H165" s="122">
        <f>SUM(H147:H164)</f>
        <v>0</v>
      </c>
      <c r="I165" s="122"/>
      <c r="J165" s="122">
        <f>SUM(J147:J164)</f>
        <v>0</v>
      </c>
      <c r="K165" s="122"/>
      <c r="L165" s="122">
        <f>F165+H165+J165</f>
        <v>0</v>
      </c>
      <c r="M165" s="121"/>
      <c r="R165" s="27">
        <f>SUM($R$146:$R$164)</f>
        <v>0</v>
      </c>
      <c r="S165" s="27">
        <f>SUM($S$146:$S$164)</f>
        <v>0</v>
      </c>
      <c r="T165" s="27">
        <f>SUM($T$146:$T$164)</f>
        <v>0</v>
      </c>
      <c r="U165" s="27">
        <f>SUM($U$146:$U$164)</f>
        <v>0</v>
      </c>
      <c r="V165" s="27">
        <f>SUM($V$146:$V$164)</f>
        <v>0</v>
      </c>
      <c r="W165" s="27">
        <f>SUM($W$146:$W$164)</f>
        <v>0</v>
      </c>
      <c r="X165" s="27">
        <f>SUM($X$146:$X$164)</f>
        <v>0</v>
      </c>
      <c r="Y165" s="27">
        <f>SUM($Y$146:$Y$164)</f>
        <v>0</v>
      </c>
      <c r="Z165" s="27">
        <f>SUM($Z$146:$Z$164)</f>
        <v>0</v>
      </c>
      <c r="AA165" s="27">
        <f>SUM($AA$146:$AA$164)</f>
        <v>0</v>
      </c>
      <c r="AB165" s="27">
        <f>SUM($AB$146:$AB$164)</f>
        <v>0</v>
      </c>
      <c r="AC165" s="27">
        <f>SUM($AC$146:$AC$164)</f>
        <v>0</v>
      </c>
      <c r="AD165" s="27">
        <f>SUM($AD$146:$AD$164)</f>
        <v>0</v>
      </c>
      <c r="AE165" s="27">
        <f>SUM($AE$146:$AE$164)</f>
        <v>0</v>
      </c>
      <c r="AF165" s="27">
        <f>SUM($AF$146:$AF$164)</f>
        <v>0</v>
      </c>
      <c r="AG165" s="27">
        <f>SUM($AG$146:$AG$164)</f>
        <v>0</v>
      </c>
      <c r="AH165" s="27">
        <f>SUM($AH$146:$AH$164)</f>
        <v>0</v>
      </c>
      <c r="AI165" s="27">
        <f>SUM($AI$146:$AI$164)</f>
        <v>0</v>
      </c>
      <c r="AJ165" s="27">
        <f>SUM($AJ$146:$AJ$164)</f>
        <v>0</v>
      </c>
      <c r="AK165" s="27">
        <f>SUM($AK$146:$AK$164)</f>
        <v>0</v>
      </c>
      <c r="AL165" s="27">
        <f>SUM($AL$146:$AL$164)</f>
        <v>0</v>
      </c>
    </row>
    <row r="166" spans="1:38" ht="20.100000000000001" customHeight="1">
      <c r="A166" s="64" t="s">
        <v>846</v>
      </c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118"/>
    </row>
    <row r="167" spans="1:38" ht="20.100000000000001" customHeight="1">
      <c r="A167" s="103" t="s">
        <v>801</v>
      </c>
      <c r="B167" s="103" t="s">
        <v>705</v>
      </c>
      <c r="C167" s="104" t="s">
        <v>26</v>
      </c>
      <c r="D167" s="105">
        <v>122</v>
      </c>
      <c r="E167" s="106"/>
      <c r="F167" s="106">
        <f t="shared" ref="F167:F173" si="162">ROUNDDOWN(D167*E167,0)</f>
        <v>0</v>
      </c>
      <c r="G167" s="106"/>
      <c r="H167" s="106">
        <f t="shared" ref="H167:H173" si="163">ROUNDDOWN(D167*G167,0)</f>
        <v>0</v>
      </c>
      <c r="I167" s="106"/>
      <c r="J167" s="106">
        <f t="shared" ref="J167:J173" si="164">ROUNDDOWN(D167*I167,0)</f>
        <v>0</v>
      </c>
      <c r="K167" s="106">
        <f t="shared" ref="K167:L173" si="165">E167+G167+I167</f>
        <v>0</v>
      </c>
      <c r="L167" s="106">
        <f t="shared" si="165"/>
        <v>0</v>
      </c>
      <c r="M167" s="108"/>
      <c r="P167" s="31" t="s">
        <v>452</v>
      </c>
      <c r="Q167" s="27">
        <v>1</v>
      </c>
      <c r="R167" s="27">
        <f t="shared" ref="R167:R173" si="166">IF(P167="기계경비",J167,0)</f>
        <v>0</v>
      </c>
      <c r="S167" s="27">
        <f t="shared" ref="S167:S173" si="167">IF(P167="운반비",J167,0)</f>
        <v>0</v>
      </c>
      <c r="T167" s="27">
        <f t="shared" ref="T167:T173" si="168">IF(P167="작업부산물",F167,0)</f>
        <v>0</v>
      </c>
      <c r="U167" s="27">
        <f t="shared" ref="U167:U173" si="169">IF(P167="관급",ROUNDDOWN(D167*E167,0),0)+IF(P167="지급",ROUNDDOWN(D167*E167,0),0)</f>
        <v>0</v>
      </c>
      <c r="V167" s="27">
        <f t="shared" ref="V167:V173" si="170">IF(P167="외주비",F167+H167+J167,0)</f>
        <v>0</v>
      </c>
      <c r="W167" s="27">
        <f t="shared" ref="W167:W173" si="171">IF(P167="장비비",F167+H167+J167,0)</f>
        <v>0</v>
      </c>
      <c r="X167" s="27">
        <f t="shared" ref="X167:X173" si="172">IF(P167="폐기물처리비",J167,0)</f>
        <v>0</v>
      </c>
      <c r="Y167" s="27">
        <f t="shared" ref="Y167:Y173" si="173">IF(P167="가설비",J167,0)</f>
        <v>0</v>
      </c>
      <c r="Z167" s="27">
        <f t="shared" ref="Z167:Z173" si="174">IF(P167="잡비제외분",F167,0)</f>
        <v>0</v>
      </c>
      <c r="AA167" s="27">
        <f t="shared" ref="AA167:AA173" si="175">IF(P167="사급자재대",L167,0)</f>
        <v>0</v>
      </c>
      <c r="AB167" s="27">
        <f t="shared" ref="AB167:AB173" si="176">IF(P167="관급자재대",L167,0)</f>
        <v>0</v>
      </c>
      <c r="AC167" s="27">
        <f t="shared" ref="AC167:AC173" si="177">IF(P167="사용자항목1",L167,0)</f>
        <v>0</v>
      </c>
      <c r="AD167" s="27">
        <f t="shared" ref="AD167:AD173" si="178">IF(P167="사용자항목2",L167,0)</f>
        <v>0</v>
      </c>
      <c r="AE167" s="27">
        <f t="shared" ref="AE167:AE173" si="179">IF(P167="사용자항목3",L167,0)</f>
        <v>0</v>
      </c>
      <c r="AF167" s="27">
        <f t="shared" ref="AF167:AF173" si="180">IF(P167="사용자항목4",L167,0)</f>
        <v>0</v>
      </c>
      <c r="AG167" s="27">
        <f t="shared" ref="AG167:AG173" si="181">IF(P167="사용자항목5",L167,0)</f>
        <v>0</v>
      </c>
      <c r="AH167" s="27">
        <f t="shared" ref="AH167:AH173" si="182">IF(P167="사용자항목6",L167,0)</f>
        <v>0</v>
      </c>
      <c r="AI167" s="27">
        <f t="shared" ref="AI167:AI173" si="183">IF(P167="사용자항목7",L167,0)</f>
        <v>0</v>
      </c>
      <c r="AJ167" s="27">
        <f t="shared" ref="AJ167:AJ173" si="184">IF(P167="사용자항목8",L167,0)</f>
        <v>0</v>
      </c>
      <c r="AK167" s="27">
        <f t="shared" ref="AK167:AK173" si="185">IF(P167="사용자항목9",L167,0)</f>
        <v>0</v>
      </c>
    </row>
    <row r="168" spans="1:38" ht="20.100000000000001" customHeight="1">
      <c r="A168" s="103" t="s">
        <v>944</v>
      </c>
      <c r="B168" s="103" t="s">
        <v>707</v>
      </c>
      <c r="C168" s="104" t="s">
        <v>26</v>
      </c>
      <c r="D168" s="105">
        <f>108+15+10</f>
        <v>133</v>
      </c>
      <c r="E168" s="106"/>
      <c r="F168" s="106">
        <f t="shared" si="162"/>
        <v>0</v>
      </c>
      <c r="G168" s="106"/>
      <c r="H168" s="106">
        <f t="shared" si="163"/>
        <v>0</v>
      </c>
      <c r="I168" s="106"/>
      <c r="J168" s="106">
        <f t="shared" si="164"/>
        <v>0</v>
      </c>
      <c r="K168" s="106">
        <f t="shared" si="165"/>
        <v>0</v>
      </c>
      <c r="L168" s="106">
        <f t="shared" si="165"/>
        <v>0</v>
      </c>
      <c r="M168" s="108"/>
      <c r="P168" s="31" t="s">
        <v>452</v>
      </c>
      <c r="Q168" s="27">
        <v>1</v>
      </c>
      <c r="R168" s="27">
        <f t="shared" si="166"/>
        <v>0</v>
      </c>
      <c r="S168" s="27">
        <f t="shared" si="167"/>
        <v>0</v>
      </c>
      <c r="T168" s="27">
        <f t="shared" si="168"/>
        <v>0</v>
      </c>
      <c r="U168" s="27">
        <f t="shared" si="169"/>
        <v>0</v>
      </c>
      <c r="V168" s="27">
        <f t="shared" si="170"/>
        <v>0</v>
      </c>
      <c r="W168" s="27">
        <f t="shared" si="171"/>
        <v>0</v>
      </c>
      <c r="X168" s="27">
        <f t="shared" si="172"/>
        <v>0</v>
      </c>
      <c r="Y168" s="27">
        <f t="shared" si="173"/>
        <v>0</v>
      </c>
      <c r="Z168" s="27">
        <f t="shared" si="174"/>
        <v>0</v>
      </c>
      <c r="AA168" s="27">
        <f t="shared" si="175"/>
        <v>0</v>
      </c>
      <c r="AB168" s="27">
        <f t="shared" si="176"/>
        <v>0</v>
      </c>
      <c r="AC168" s="27">
        <f t="shared" si="177"/>
        <v>0</v>
      </c>
      <c r="AD168" s="27">
        <f t="shared" si="178"/>
        <v>0</v>
      </c>
      <c r="AE168" s="27">
        <f t="shared" si="179"/>
        <v>0</v>
      </c>
      <c r="AF168" s="27">
        <f t="shared" si="180"/>
        <v>0</v>
      </c>
      <c r="AG168" s="27">
        <f t="shared" si="181"/>
        <v>0</v>
      </c>
      <c r="AH168" s="27">
        <f t="shared" si="182"/>
        <v>0</v>
      </c>
      <c r="AI168" s="27">
        <f t="shared" si="183"/>
        <v>0</v>
      </c>
      <c r="AJ168" s="27">
        <f t="shared" si="184"/>
        <v>0</v>
      </c>
      <c r="AK168" s="27">
        <f t="shared" si="185"/>
        <v>0</v>
      </c>
    </row>
    <row r="169" spans="1:38" ht="20.100000000000001" customHeight="1">
      <c r="A169" s="103" t="s">
        <v>804</v>
      </c>
      <c r="B169" s="103"/>
      <c r="C169" s="104" t="s">
        <v>26</v>
      </c>
      <c r="D169" s="105">
        <v>300</v>
      </c>
      <c r="E169" s="106"/>
      <c r="F169" s="106">
        <f t="shared" si="162"/>
        <v>0</v>
      </c>
      <c r="G169" s="106"/>
      <c r="H169" s="106">
        <f t="shared" si="163"/>
        <v>0</v>
      </c>
      <c r="I169" s="106"/>
      <c r="J169" s="106">
        <f t="shared" si="164"/>
        <v>0</v>
      </c>
      <c r="K169" s="106">
        <f t="shared" si="165"/>
        <v>0</v>
      </c>
      <c r="L169" s="106">
        <f t="shared" si="165"/>
        <v>0</v>
      </c>
      <c r="M169" s="108"/>
      <c r="P169" s="31" t="s">
        <v>452</v>
      </c>
      <c r="Q169" s="27">
        <v>1</v>
      </c>
      <c r="R169" s="27">
        <f t="shared" si="166"/>
        <v>0</v>
      </c>
      <c r="S169" s="27">
        <f t="shared" si="167"/>
        <v>0</v>
      </c>
      <c r="T169" s="27">
        <f t="shared" si="168"/>
        <v>0</v>
      </c>
      <c r="U169" s="27">
        <f t="shared" si="169"/>
        <v>0</v>
      </c>
      <c r="V169" s="27">
        <f t="shared" si="170"/>
        <v>0</v>
      </c>
      <c r="W169" s="27">
        <f t="shared" si="171"/>
        <v>0</v>
      </c>
      <c r="X169" s="27">
        <f t="shared" si="172"/>
        <v>0</v>
      </c>
      <c r="Y169" s="27">
        <f t="shared" si="173"/>
        <v>0</v>
      </c>
      <c r="Z169" s="27">
        <f t="shared" si="174"/>
        <v>0</v>
      </c>
      <c r="AA169" s="27">
        <f t="shared" si="175"/>
        <v>0</v>
      </c>
      <c r="AB169" s="27">
        <f t="shared" si="176"/>
        <v>0</v>
      </c>
      <c r="AC169" s="27">
        <f t="shared" si="177"/>
        <v>0</v>
      </c>
      <c r="AD169" s="27">
        <f t="shared" si="178"/>
        <v>0</v>
      </c>
      <c r="AE169" s="27">
        <f t="shared" si="179"/>
        <v>0</v>
      </c>
      <c r="AF169" s="27">
        <f t="shared" si="180"/>
        <v>0</v>
      </c>
      <c r="AG169" s="27">
        <f t="shared" si="181"/>
        <v>0</v>
      </c>
      <c r="AH169" s="27">
        <f t="shared" si="182"/>
        <v>0</v>
      </c>
      <c r="AI169" s="27">
        <f t="shared" si="183"/>
        <v>0</v>
      </c>
      <c r="AJ169" s="27">
        <f t="shared" si="184"/>
        <v>0</v>
      </c>
      <c r="AK169" s="27">
        <f t="shared" si="185"/>
        <v>0</v>
      </c>
    </row>
    <row r="170" spans="1:38" ht="20.100000000000001" customHeight="1">
      <c r="A170" s="103" t="s">
        <v>806</v>
      </c>
      <c r="B170" s="103"/>
      <c r="C170" s="104" t="s">
        <v>26</v>
      </c>
      <c r="D170" s="105">
        <v>2</v>
      </c>
      <c r="E170" s="106"/>
      <c r="F170" s="106">
        <f t="shared" si="162"/>
        <v>0</v>
      </c>
      <c r="G170" s="106"/>
      <c r="H170" s="106">
        <f t="shared" si="163"/>
        <v>0</v>
      </c>
      <c r="I170" s="106"/>
      <c r="J170" s="106">
        <f t="shared" si="164"/>
        <v>0</v>
      </c>
      <c r="K170" s="106">
        <f t="shared" si="165"/>
        <v>0</v>
      </c>
      <c r="L170" s="106">
        <f t="shared" si="165"/>
        <v>0</v>
      </c>
      <c r="M170" s="108"/>
      <c r="P170" s="31" t="s">
        <v>452</v>
      </c>
      <c r="Q170" s="27">
        <v>1</v>
      </c>
      <c r="R170" s="27">
        <f t="shared" si="166"/>
        <v>0</v>
      </c>
      <c r="S170" s="27">
        <f t="shared" si="167"/>
        <v>0</v>
      </c>
      <c r="T170" s="27">
        <f t="shared" si="168"/>
        <v>0</v>
      </c>
      <c r="U170" s="27">
        <f t="shared" si="169"/>
        <v>0</v>
      </c>
      <c r="V170" s="27">
        <f t="shared" si="170"/>
        <v>0</v>
      </c>
      <c r="W170" s="27">
        <f t="shared" si="171"/>
        <v>0</v>
      </c>
      <c r="X170" s="27">
        <f t="shared" si="172"/>
        <v>0</v>
      </c>
      <c r="Y170" s="27">
        <f t="shared" si="173"/>
        <v>0</v>
      </c>
      <c r="Z170" s="27">
        <f t="shared" si="174"/>
        <v>0</v>
      </c>
      <c r="AA170" s="27">
        <f t="shared" si="175"/>
        <v>0</v>
      </c>
      <c r="AB170" s="27">
        <f t="shared" si="176"/>
        <v>0</v>
      </c>
      <c r="AC170" s="27">
        <f t="shared" si="177"/>
        <v>0</v>
      </c>
      <c r="AD170" s="27">
        <f t="shared" si="178"/>
        <v>0</v>
      </c>
      <c r="AE170" s="27">
        <f t="shared" si="179"/>
        <v>0</v>
      </c>
      <c r="AF170" s="27">
        <f t="shared" si="180"/>
        <v>0</v>
      </c>
      <c r="AG170" s="27">
        <f t="shared" si="181"/>
        <v>0</v>
      </c>
      <c r="AH170" s="27">
        <f t="shared" si="182"/>
        <v>0</v>
      </c>
      <c r="AI170" s="27">
        <f t="shared" si="183"/>
        <v>0</v>
      </c>
      <c r="AJ170" s="27">
        <f t="shared" si="184"/>
        <v>0</v>
      </c>
      <c r="AK170" s="27">
        <f t="shared" si="185"/>
        <v>0</v>
      </c>
    </row>
    <row r="171" spans="1:38" ht="20.100000000000001" customHeight="1">
      <c r="A171" s="103" t="s">
        <v>808</v>
      </c>
      <c r="B171" s="103" t="s">
        <v>709</v>
      </c>
      <c r="C171" s="104" t="s">
        <v>26</v>
      </c>
      <c r="D171" s="105">
        <v>28</v>
      </c>
      <c r="E171" s="106"/>
      <c r="F171" s="106">
        <f t="shared" si="162"/>
        <v>0</v>
      </c>
      <c r="G171" s="106"/>
      <c r="H171" s="106">
        <f t="shared" si="163"/>
        <v>0</v>
      </c>
      <c r="I171" s="106"/>
      <c r="J171" s="106">
        <f t="shared" si="164"/>
        <v>0</v>
      </c>
      <c r="K171" s="106">
        <f t="shared" si="165"/>
        <v>0</v>
      </c>
      <c r="L171" s="106">
        <f t="shared" si="165"/>
        <v>0</v>
      </c>
      <c r="M171" s="108"/>
      <c r="P171" s="31" t="s">
        <v>452</v>
      </c>
      <c r="Q171" s="27">
        <v>1</v>
      </c>
      <c r="R171" s="27">
        <f t="shared" si="166"/>
        <v>0</v>
      </c>
      <c r="S171" s="27">
        <f t="shared" si="167"/>
        <v>0</v>
      </c>
      <c r="T171" s="27">
        <f t="shared" si="168"/>
        <v>0</v>
      </c>
      <c r="U171" s="27">
        <f t="shared" si="169"/>
        <v>0</v>
      </c>
      <c r="V171" s="27">
        <f t="shared" si="170"/>
        <v>0</v>
      </c>
      <c r="W171" s="27">
        <f t="shared" si="171"/>
        <v>0</v>
      </c>
      <c r="X171" s="27">
        <f t="shared" si="172"/>
        <v>0</v>
      </c>
      <c r="Y171" s="27">
        <f t="shared" si="173"/>
        <v>0</v>
      </c>
      <c r="Z171" s="27">
        <f t="shared" si="174"/>
        <v>0</v>
      </c>
      <c r="AA171" s="27">
        <f t="shared" si="175"/>
        <v>0</v>
      </c>
      <c r="AB171" s="27">
        <f t="shared" si="176"/>
        <v>0</v>
      </c>
      <c r="AC171" s="27">
        <f t="shared" si="177"/>
        <v>0</v>
      </c>
      <c r="AD171" s="27">
        <f t="shared" si="178"/>
        <v>0</v>
      </c>
      <c r="AE171" s="27">
        <f t="shared" si="179"/>
        <v>0</v>
      </c>
      <c r="AF171" s="27">
        <f t="shared" si="180"/>
        <v>0</v>
      </c>
      <c r="AG171" s="27">
        <f t="shared" si="181"/>
        <v>0</v>
      </c>
      <c r="AH171" s="27">
        <f t="shared" si="182"/>
        <v>0</v>
      </c>
      <c r="AI171" s="27">
        <f t="shared" si="183"/>
        <v>0</v>
      </c>
      <c r="AJ171" s="27">
        <f t="shared" si="184"/>
        <v>0</v>
      </c>
      <c r="AK171" s="27">
        <f t="shared" si="185"/>
        <v>0</v>
      </c>
    </row>
    <row r="172" spans="1:38" ht="20.100000000000001" customHeight="1">
      <c r="A172" s="103" t="s">
        <v>810</v>
      </c>
      <c r="B172" s="103" t="s">
        <v>710</v>
      </c>
      <c r="C172" s="104" t="s">
        <v>26</v>
      </c>
      <c r="D172" s="105">
        <f>3864-338</f>
        <v>3526</v>
      </c>
      <c r="E172" s="106"/>
      <c r="F172" s="106">
        <f t="shared" si="162"/>
        <v>0</v>
      </c>
      <c r="G172" s="106"/>
      <c r="H172" s="106">
        <f t="shared" si="163"/>
        <v>0</v>
      </c>
      <c r="I172" s="106"/>
      <c r="J172" s="106">
        <f t="shared" si="164"/>
        <v>0</v>
      </c>
      <c r="K172" s="106">
        <f t="shared" si="165"/>
        <v>0</v>
      </c>
      <c r="L172" s="106">
        <f t="shared" si="165"/>
        <v>0</v>
      </c>
      <c r="M172" s="108"/>
      <c r="P172" s="31" t="s">
        <v>452</v>
      </c>
      <c r="Q172" s="27">
        <v>1</v>
      </c>
      <c r="R172" s="27">
        <f t="shared" si="166"/>
        <v>0</v>
      </c>
      <c r="S172" s="27">
        <f t="shared" si="167"/>
        <v>0</v>
      </c>
      <c r="T172" s="27">
        <f t="shared" si="168"/>
        <v>0</v>
      </c>
      <c r="U172" s="27">
        <f t="shared" si="169"/>
        <v>0</v>
      </c>
      <c r="V172" s="27">
        <f t="shared" si="170"/>
        <v>0</v>
      </c>
      <c r="W172" s="27">
        <f t="shared" si="171"/>
        <v>0</v>
      </c>
      <c r="X172" s="27">
        <f t="shared" si="172"/>
        <v>0</v>
      </c>
      <c r="Y172" s="27">
        <f t="shared" si="173"/>
        <v>0</v>
      </c>
      <c r="Z172" s="27">
        <f t="shared" si="174"/>
        <v>0</v>
      </c>
      <c r="AA172" s="27">
        <f t="shared" si="175"/>
        <v>0</v>
      </c>
      <c r="AB172" s="27">
        <f t="shared" si="176"/>
        <v>0</v>
      </c>
      <c r="AC172" s="27">
        <f t="shared" si="177"/>
        <v>0</v>
      </c>
      <c r="AD172" s="27">
        <f t="shared" si="178"/>
        <v>0</v>
      </c>
      <c r="AE172" s="27">
        <f t="shared" si="179"/>
        <v>0</v>
      </c>
      <c r="AF172" s="27">
        <f t="shared" si="180"/>
        <v>0</v>
      </c>
      <c r="AG172" s="27">
        <f t="shared" si="181"/>
        <v>0</v>
      </c>
      <c r="AH172" s="27">
        <f t="shared" si="182"/>
        <v>0</v>
      </c>
      <c r="AI172" s="27">
        <f t="shared" si="183"/>
        <v>0</v>
      </c>
      <c r="AJ172" s="27">
        <f t="shared" si="184"/>
        <v>0</v>
      </c>
      <c r="AK172" s="27">
        <f t="shared" si="185"/>
        <v>0</v>
      </c>
    </row>
    <row r="173" spans="1:38" ht="20.100000000000001" customHeight="1">
      <c r="A173" s="103" t="s">
        <v>812</v>
      </c>
      <c r="B173" s="103" t="s">
        <v>711</v>
      </c>
      <c r="C173" s="104" t="s">
        <v>26</v>
      </c>
      <c r="D173" s="105">
        <v>2</v>
      </c>
      <c r="E173" s="106"/>
      <c r="F173" s="106">
        <f t="shared" si="162"/>
        <v>0</v>
      </c>
      <c r="G173" s="106"/>
      <c r="H173" s="106">
        <f t="shared" si="163"/>
        <v>0</v>
      </c>
      <c r="I173" s="106"/>
      <c r="J173" s="106">
        <f t="shared" si="164"/>
        <v>0</v>
      </c>
      <c r="K173" s="106">
        <f t="shared" si="165"/>
        <v>0</v>
      </c>
      <c r="L173" s="106">
        <f t="shared" si="165"/>
        <v>0</v>
      </c>
      <c r="M173" s="108"/>
      <c r="P173" s="31" t="s">
        <v>452</v>
      </c>
      <c r="Q173" s="27">
        <v>1</v>
      </c>
      <c r="R173" s="27">
        <f t="shared" si="166"/>
        <v>0</v>
      </c>
      <c r="S173" s="27">
        <f t="shared" si="167"/>
        <v>0</v>
      </c>
      <c r="T173" s="27">
        <f t="shared" si="168"/>
        <v>0</v>
      </c>
      <c r="U173" s="27">
        <f t="shared" si="169"/>
        <v>0</v>
      </c>
      <c r="V173" s="27">
        <f t="shared" si="170"/>
        <v>0</v>
      </c>
      <c r="W173" s="27">
        <f t="shared" si="171"/>
        <v>0</v>
      </c>
      <c r="X173" s="27">
        <f t="shared" si="172"/>
        <v>0</v>
      </c>
      <c r="Y173" s="27">
        <f t="shared" si="173"/>
        <v>0</v>
      </c>
      <c r="Z173" s="27">
        <f t="shared" si="174"/>
        <v>0</v>
      </c>
      <c r="AA173" s="27">
        <f t="shared" si="175"/>
        <v>0</v>
      </c>
      <c r="AB173" s="27">
        <f t="shared" si="176"/>
        <v>0</v>
      </c>
      <c r="AC173" s="27">
        <f t="shared" si="177"/>
        <v>0</v>
      </c>
      <c r="AD173" s="27">
        <f t="shared" si="178"/>
        <v>0</v>
      </c>
      <c r="AE173" s="27">
        <f t="shared" si="179"/>
        <v>0</v>
      </c>
      <c r="AF173" s="27">
        <f t="shared" si="180"/>
        <v>0</v>
      </c>
      <c r="AG173" s="27">
        <f t="shared" si="181"/>
        <v>0</v>
      </c>
      <c r="AH173" s="27">
        <f t="shared" si="182"/>
        <v>0</v>
      </c>
      <c r="AI173" s="27">
        <f t="shared" si="183"/>
        <v>0</v>
      </c>
      <c r="AJ173" s="27">
        <f t="shared" si="184"/>
        <v>0</v>
      </c>
      <c r="AK173" s="27">
        <f t="shared" si="185"/>
        <v>0</v>
      </c>
    </row>
    <row r="174" spans="1:38" ht="20.100000000000001" customHeight="1">
      <c r="A174" s="103"/>
      <c r="B174" s="103"/>
      <c r="C174" s="104"/>
      <c r="D174" s="107"/>
      <c r="E174" s="107"/>
      <c r="F174" s="107"/>
      <c r="G174" s="107"/>
      <c r="H174" s="107"/>
      <c r="I174" s="107"/>
      <c r="J174" s="107"/>
      <c r="K174" s="107"/>
      <c r="L174" s="107"/>
      <c r="M174" s="107"/>
    </row>
    <row r="175" spans="1:38" ht="20.100000000000001" customHeight="1">
      <c r="A175" s="103"/>
      <c r="B175" s="103"/>
      <c r="C175" s="104"/>
      <c r="D175" s="107"/>
      <c r="E175" s="107"/>
      <c r="F175" s="107"/>
      <c r="G175" s="107"/>
      <c r="H175" s="107"/>
      <c r="I175" s="107"/>
      <c r="J175" s="107"/>
      <c r="K175" s="107"/>
      <c r="L175" s="107"/>
      <c r="M175" s="107"/>
    </row>
    <row r="176" spans="1:38" ht="20.100000000000001" customHeight="1">
      <c r="A176" s="103"/>
      <c r="B176" s="103"/>
      <c r="C176" s="104"/>
      <c r="D176" s="107"/>
      <c r="E176" s="107"/>
      <c r="F176" s="107"/>
      <c r="G176" s="107"/>
      <c r="H176" s="107"/>
      <c r="I176" s="107"/>
      <c r="J176" s="107"/>
      <c r="K176" s="107"/>
      <c r="L176" s="107"/>
      <c r="M176" s="107"/>
    </row>
    <row r="177" spans="1:38" ht="20.100000000000001" customHeight="1">
      <c r="A177" s="103"/>
      <c r="B177" s="103"/>
      <c r="C177" s="104"/>
      <c r="D177" s="107"/>
      <c r="E177" s="107"/>
      <c r="F177" s="107"/>
      <c r="G177" s="107"/>
      <c r="H177" s="107"/>
      <c r="I177" s="107"/>
      <c r="J177" s="107"/>
      <c r="K177" s="107"/>
      <c r="L177" s="107"/>
      <c r="M177" s="107"/>
    </row>
    <row r="178" spans="1:38" ht="20.100000000000001" customHeight="1">
      <c r="A178" s="103"/>
      <c r="B178" s="103"/>
      <c r="C178" s="104"/>
      <c r="D178" s="107"/>
      <c r="E178" s="107"/>
      <c r="F178" s="107"/>
      <c r="G178" s="107"/>
      <c r="H178" s="107"/>
      <c r="I178" s="107"/>
      <c r="J178" s="107"/>
      <c r="K178" s="107"/>
      <c r="L178" s="107"/>
      <c r="M178" s="107"/>
    </row>
    <row r="179" spans="1:38" ht="20.100000000000001" customHeight="1">
      <c r="A179" s="103"/>
      <c r="B179" s="103"/>
      <c r="C179" s="104"/>
      <c r="D179" s="107"/>
      <c r="E179" s="107"/>
      <c r="F179" s="107"/>
      <c r="G179" s="107"/>
      <c r="H179" s="107"/>
      <c r="I179" s="107"/>
      <c r="J179" s="107"/>
      <c r="K179" s="107"/>
      <c r="L179" s="107"/>
      <c r="M179" s="107"/>
    </row>
    <row r="180" spans="1:38" ht="20.100000000000001" customHeight="1">
      <c r="A180" s="103"/>
      <c r="B180" s="103"/>
      <c r="C180" s="104"/>
      <c r="D180" s="107"/>
      <c r="E180" s="107"/>
      <c r="F180" s="107"/>
      <c r="G180" s="107"/>
      <c r="H180" s="107"/>
      <c r="I180" s="107"/>
      <c r="J180" s="107"/>
      <c r="K180" s="107"/>
      <c r="L180" s="107"/>
      <c r="M180" s="107"/>
    </row>
    <row r="181" spans="1:38" ht="20.100000000000001" customHeight="1">
      <c r="A181" s="103"/>
      <c r="B181" s="103"/>
      <c r="C181" s="104"/>
      <c r="D181" s="107"/>
      <c r="E181" s="107"/>
      <c r="F181" s="107"/>
      <c r="G181" s="107"/>
      <c r="H181" s="107"/>
      <c r="I181" s="107"/>
      <c r="J181" s="107"/>
      <c r="K181" s="107"/>
      <c r="L181" s="107"/>
      <c r="M181" s="107"/>
    </row>
    <row r="182" spans="1:38" ht="20.100000000000001" customHeight="1">
      <c r="A182" s="103"/>
      <c r="B182" s="103"/>
      <c r="C182" s="104"/>
      <c r="D182" s="107"/>
      <c r="E182" s="107"/>
      <c r="F182" s="107"/>
      <c r="G182" s="107"/>
      <c r="H182" s="107"/>
      <c r="I182" s="107"/>
      <c r="J182" s="107"/>
      <c r="K182" s="107"/>
      <c r="L182" s="107"/>
      <c r="M182" s="107"/>
    </row>
    <row r="183" spans="1:38" ht="20.100000000000001" customHeight="1">
      <c r="A183" s="103"/>
      <c r="B183" s="103"/>
      <c r="C183" s="104"/>
      <c r="D183" s="107"/>
      <c r="E183" s="107"/>
      <c r="F183" s="107"/>
      <c r="G183" s="107"/>
      <c r="H183" s="107"/>
      <c r="I183" s="107"/>
      <c r="J183" s="107"/>
      <c r="K183" s="107"/>
      <c r="L183" s="107"/>
      <c r="M183" s="107"/>
    </row>
    <row r="184" spans="1:38" ht="20.100000000000001" customHeight="1">
      <c r="A184" s="103"/>
      <c r="B184" s="103"/>
      <c r="C184" s="104"/>
      <c r="D184" s="107"/>
      <c r="E184" s="107"/>
      <c r="F184" s="107"/>
      <c r="G184" s="107"/>
      <c r="H184" s="107"/>
      <c r="I184" s="107"/>
      <c r="J184" s="107"/>
      <c r="K184" s="107"/>
      <c r="L184" s="107"/>
      <c r="M184" s="107"/>
    </row>
    <row r="185" spans="1:38" ht="20.100000000000001" customHeight="1">
      <c r="A185" s="124" t="s">
        <v>930</v>
      </c>
      <c r="B185" s="119"/>
      <c r="C185" s="120"/>
      <c r="D185" s="121"/>
      <c r="E185" s="122"/>
      <c r="F185" s="122">
        <f>SUMIF($Q$166:$Q$184, 1,$F$166:$F$184)</f>
        <v>0</v>
      </c>
      <c r="G185" s="122"/>
      <c r="H185" s="122">
        <f>SUMIF($Q$166:$Q$184, 1,$H$166:$H$184)</f>
        <v>0</v>
      </c>
      <c r="I185" s="122"/>
      <c r="J185" s="122">
        <f>SUMIF($Q$166:$Q$184, 1,$J$166:$J$184)</f>
        <v>0</v>
      </c>
      <c r="K185" s="122"/>
      <c r="L185" s="122">
        <f>F185+H185+J185</f>
        <v>0</v>
      </c>
      <c r="M185" s="121"/>
      <c r="R185" s="27">
        <f>SUM($R$166:$R$184)</f>
        <v>0</v>
      </c>
      <c r="S185" s="27">
        <f>SUM($S$166:$S$184)</f>
        <v>0</v>
      </c>
      <c r="T185" s="27">
        <f>SUM($T$166:$T$184)</f>
        <v>0</v>
      </c>
      <c r="U185" s="27">
        <f>SUM($U$166:$U$184)</f>
        <v>0</v>
      </c>
      <c r="V185" s="27">
        <f>SUM($V$166:$V$184)</f>
        <v>0</v>
      </c>
      <c r="W185" s="27">
        <f>SUM($W$166:$W$184)</f>
        <v>0</v>
      </c>
      <c r="X185" s="27">
        <f>SUM($X$166:$X$184)</f>
        <v>0</v>
      </c>
      <c r="Y185" s="27">
        <f>SUM($Y$166:$Y$184)</f>
        <v>0</v>
      </c>
      <c r="Z185" s="27">
        <f>SUM($Z$166:$Z$184)</f>
        <v>0</v>
      </c>
      <c r="AA185" s="27">
        <f>SUM($AA$166:$AA$184)</f>
        <v>0</v>
      </c>
      <c r="AB185" s="27">
        <f>SUM($AB$166:$AB$184)</f>
        <v>0</v>
      </c>
      <c r="AC185" s="27">
        <f>SUM($AC$166:$AC$184)</f>
        <v>0</v>
      </c>
      <c r="AD185" s="27">
        <f>SUM($AD$166:$AD$184)</f>
        <v>0</v>
      </c>
      <c r="AE185" s="27">
        <f>SUM($AE$166:$AE$184)</f>
        <v>0</v>
      </c>
      <c r="AF185" s="27">
        <f>SUM($AF$166:$AF$184)</f>
        <v>0</v>
      </c>
      <c r="AG185" s="27">
        <f>SUM($AG$166:$AG$184)</f>
        <v>0</v>
      </c>
      <c r="AH185" s="27">
        <f>SUM($AH$166:$AH$184)</f>
        <v>0</v>
      </c>
      <c r="AI185" s="27">
        <f>SUM($AI$166:$AI$184)</f>
        <v>0</v>
      </c>
      <c r="AJ185" s="27">
        <f>SUM($AJ$166:$AJ$184)</f>
        <v>0</v>
      </c>
      <c r="AK185" s="27">
        <f>SUM($AK$166:$AK$184)</f>
        <v>0</v>
      </c>
      <c r="AL185" s="27">
        <f>SUM($AL$166:$AL$184)</f>
        <v>0</v>
      </c>
    </row>
    <row r="186" spans="1:38" ht="20.100000000000001" customHeight="1">
      <c r="A186" s="64" t="s">
        <v>393</v>
      </c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134"/>
    </row>
    <row r="187" spans="1:38" ht="20.100000000000001" customHeight="1">
      <c r="A187" s="103" t="s">
        <v>963</v>
      </c>
      <c r="B187" s="103" t="s">
        <v>964</v>
      </c>
      <c r="C187" s="104" t="s">
        <v>17</v>
      </c>
      <c r="D187" s="105">
        <v>1</v>
      </c>
      <c r="E187" s="106"/>
      <c r="F187" s="106">
        <f t="shared" ref="F187:F192" si="186">ROUNDDOWN(D187*E187,0)</f>
        <v>0</v>
      </c>
      <c r="G187" s="106"/>
      <c r="H187" s="106">
        <f t="shared" ref="H187:H192" si="187">ROUNDDOWN(D187*G187,0)</f>
        <v>0</v>
      </c>
      <c r="I187" s="106"/>
      <c r="J187" s="106">
        <f t="shared" ref="J187:J192" si="188">ROUNDDOWN(D187*I187,0)</f>
        <v>0</v>
      </c>
      <c r="K187" s="106">
        <f t="shared" ref="K187:L206" si="189">E187+G187+I187</f>
        <v>0</v>
      </c>
      <c r="L187" s="106">
        <f t="shared" si="189"/>
        <v>0</v>
      </c>
      <c r="M187" s="135"/>
      <c r="P187" s="31" t="s">
        <v>452</v>
      </c>
      <c r="Q187" s="27">
        <v>1</v>
      </c>
      <c r="R187" s="27">
        <f t="shared" ref="R187:R206" si="190">IF(P187="기계경비",J187,0)</f>
        <v>0</v>
      </c>
      <c r="S187" s="27">
        <f t="shared" ref="S187:S206" si="191">IF(P187="운반비",J187,0)</f>
        <v>0</v>
      </c>
      <c r="T187" s="27">
        <f t="shared" ref="T187:T206" si="192">IF(P187="작업부산물",F187,0)</f>
        <v>0</v>
      </c>
      <c r="U187" s="27">
        <f t="shared" ref="U187:U206" si="193">IF(P187="관급",ROUNDDOWN(D187*E187,0),0)+IF(P187="지급",ROUNDDOWN(D187*E187,0),0)</f>
        <v>0</v>
      </c>
      <c r="V187" s="27">
        <f t="shared" ref="V187:V206" si="194">IF(P187="외주비",F187+H187+J187,0)</f>
        <v>0</v>
      </c>
      <c r="W187" s="27">
        <f t="shared" ref="W187:W206" si="195">IF(P187="장비비",F187+H187+J187,0)</f>
        <v>0</v>
      </c>
      <c r="X187" s="27">
        <f t="shared" ref="X187:X206" si="196">IF(P187="폐기물처리비",J187,0)</f>
        <v>0</v>
      </c>
      <c r="Y187" s="27">
        <f t="shared" ref="Y187:Y206" si="197">IF(P187="가설비",J187,0)</f>
        <v>0</v>
      </c>
      <c r="Z187" s="27">
        <f t="shared" ref="Z187:Z206" si="198">IF(P187="잡비제외분",F187,0)</f>
        <v>0</v>
      </c>
      <c r="AA187" s="27">
        <f t="shared" ref="AA187:AA206" si="199">IF(P187="사급자재대",L187,0)</f>
        <v>0</v>
      </c>
      <c r="AB187" s="27">
        <f t="shared" ref="AB187:AB206" si="200">IF(P187="관급자재대",L187,0)</f>
        <v>0</v>
      </c>
      <c r="AC187" s="27">
        <f t="shared" ref="AC187:AC206" si="201">IF(P187="사용자항목1",L187,0)</f>
        <v>0</v>
      </c>
      <c r="AD187" s="27">
        <f t="shared" ref="AD187:AD206" si="202">IF(P187="사용자항목2",L187,0)</f>
        <v>0</v>
      </c>
      <c r="AE187" s="27">
        <f t="shared" ref="AE187:AE206" si="203">IF(P187="사용자항목3",L187,0)</f>
        <v>0</v>
      </c>
      <c r="AF187" s="27">
        <f t="shared" ref="AF187:AF206" si="204">IF(P187="사용자항목4",L187,0)</f>
        <v>0</v>
      </c>
      <c r="AG187" s="27">
        <f t="shared" ref="AG187:AG206" si="205">IF(P187="사용자항목5",L187,0)</f>
        <v>0</v>
      </c>
      <c r="AH187" s="27">
        <f t="shared" ref="AH187:AH206" si="206">IF(P187="사용자항목6",L187,0)</f>
        <v>0</v>
      </c>
      <c r="AI187" s="27">
        <f t="shared" ref="AI187:AI206" si="207">IF(P187="사용자항목7",L187,0)</f>
        <v>0</v>
      </c>
      <c r="AJ187" s="27">
        <f t="shared" ref="AJ187:AJ206" si="208">IF(P187="사용자항목8",L187,0)</f>
        <v>0</v>
      </c>
      <c r="AK187" s="27">
        <f t="shared" ref="AK187:AK206" si="209">IF(P187="사용자항목9",L187,0)</f>
        <v>0</v>
      </c>
    </row>
    <row r="188" spans="1:38" ht="20.100000000000001" customHeight="1">
      <c r="A188" s="103" t="s">
        <v>322</v>
      </c>
      <c r="B188" s="103">
        <v>800</v>
      </c>
      <c r="C188" s="104" t="s">
        <v>149</v>
      </c>
      <c r="D188" s="105">
        <f>[1]공량산출서!F8</f>
        <v>1</v>
      </c>
      <c r="E188" s="106"/>
      <c r="F188" s="106">
        <f t="shared" si="186"/>
        <v>0</v>
      </c>
      <c r="G188" s="106"/>
      <c r="H188" s="106">
        <f t="shared" si="187"/>
        <v>0</v>
      </c>
      <c r="I188" s="106"/>
      <c r="J188" s="106">
        <f t="shared" si="188"/>
        <v>0</v>
      </c>
      <c r="K188" s="106">
        <f t="shared" si="189"/>
        <v>0</v>
      </c>
      <c r="L188" s="106">
        <f t="shared" si="189"/>
        <v>0</v>
      </c>
      <c r="M188" s="130"/>
      <c r="O188" s="31" t="s">
        <v>457</v>
      </c>
      <c r="P188" s="31" t="s">
        <v>452</v>
      </c>
      <c r="Q188" s="27">
        <v>1</v>
      </c>
      <c r="R188" s="27">
        <f t="shared" si="190"/>
        <v>0</v>
      </c>
      <c r="S188" s="27">
        <f t="shared" si="191"/>
        <v>0</v>
      </c>
      <c r="T188" s="27">
        <f t="shared" si="192"/>
        <v>0</v>
      </c>
      <c r="U188" s="27">
        <f t="shared" si="193"/>
        <v>0</v>
      </c>
      <c r="V188" s="27">
        <f t="shared" si="194"/>
        <v>0</v>
      </c>
      <c r="W188" s="27">
        <f t="shared" si="195"/>
        <v>0</v>
      </c>
      <c r="X188" s="27">
        <f t="shared" si="196"/>
        <v>0</v>
      </c>
      <c r="Y188" s="27">
        <f t="shared" si="197"/>
        <v>0</v>
      </c>
      <c r="Z188" s="27">
        <f t="shared" si="198"/>
        <v>0</v>
      </c>
      <c r="AA188" s="27">
        <f t="shared" si="199"/>
        <v>0</v>
      </c>
      <c r="AB188" s="27">
        <f t="shared" si="200"/>
        <v>0</v>
      </c>
      <c r="AC188" s="27">
        <f t="shared" si="201"/>
        <v>0</v>
      </c>
      <c r="AD188" s="27">
        <f t="shared" si="202"/>
        <v>0</v>
      </c>
      <c r="AE188" s="27">
        <f t="shared" si="203"/>
        <v>0</v>
      </c>
      <c r="AF188" s="27">
        <f t="shared" si="204"/>
        <v>0</v>
      </c>
      <c r="AG188" s="27">
        <f t="shared" si="205"/>
        <v>0</v>
      </c>
      <c r="AH188" s="27">
        <f t="shared" si="206"/>
        <v>0</v>
      </c>
      <c r="AI188" s="27">
        <f t="shared" si="207"/>
        <v>0</v>
      </c>
      <c r="AJ188" s="27">
        <f t="shared" si="208"/>
        <v>0</v>
      </c>
      <c r="AK188" s="27">
        <f t="shared" si="209"/>
        <v>0</v>
      </c>
    </row>
    <row r="189" spans="1:38" ht="20.100000000000001" customHeight="1">
      <c r="A189" s="103" t="s">
        <v>244</v>
      </c>
      <c r="B189" s="103" t="s">
        <v>245</v>
      </c>
      <c r="C189" s="104" t="s">
        <v>17</v>
      </c>
      <c r="D189" s="105">
        <f>[1]공량산출서!F10</f>
        <v>2</v>
      </c>
      <c r="E189" s="106"/>
      <c r="F189" s="106">
        <f t="shared" si="186"/>
        <v>0</v>
      </c>
      <c r="G189" s="106"/>
      <c r="H189" s="106">
        <f t="shared" si="187"/>
        <v>0</v>
      </c>
      <c r="I189" s="106"/>
      <c r="J189" s="106">
        <f t="shared" si="188"/>
        <v>0</v>
      </c>
      <c r="K189" s="106">
        <f t="shared" si="189"/>
        <v>0</v>
      </c>
      <c r="L189" s="106">
        <f t="shared" si="189"/>
        <v>0</v>
      </c>
      <c r="M189" s="130"/>
      <c r="O189" s="31" t="s">
        <v>580</v>
      </c>
      <c r="P189" s="31" t="s">
        <v>452</v>
      </c>
      <c r="Q189" s="27">
        <v>1</v>
      </c>
      <c r="R189" s="27">
        <f t="shared" si="190"/>
        <v>0</v>
      </c>
      <c r="S189" s="27">
        <f t="shared" si="191"/>
        <v>0</v>
      </c>
      <c r="T189" s="27">
        <f t="shared" si="192"/>
        <v>0</v>
      </c>
      <c r="U189" s="27">
        <f t="shared" si="193"/>
        <v>0</v>
      </c>
      <c r="V189" s="27">
        <f t="shared" si="194"/>
        <v>0</v>
      </c>
      <c r="W189" s="27">
        <f t="shared" si="195"/>
        <v>0</v>
      </c>
      <c r="X189" s="27">
        <f t="shared" si="196"/>
        <v>0</v>
      </c>
      <c r="Y189" s="27">
        <f t="shared" si="197"/>
        <v>0</v>
      </c>
      <c r="Z189" s="27">
        <f t="shared" si="198"/>
        <v>0</v>
      </c>
      <c r="AA189" s="27">
        <f t="shared" si="199"/>
        <v>0</v>
      </c>
      <c r="AB189" s="27">
        <f t="shared" si="200"/>
        <v>0</v>
      </c>
      <c r="AC189" s="27">
        <f t="shared" si="201"/>
        <v>0</v>
      </c>
      <c r="AD189" s="27">
        <f t="shared" si="202"/>
        <v>0</v>
      </c>
      <c r="AE189" s="27">
        <f t="shared" si="203"/>
        <v>0</v>
      </c>
      <c r="AF189" s="27">
        <f t="shared" si="204"/>
        <v>0</v>
      </c>
      <c r="AG189" s="27">
        <f t="shared" si="205"/>
        <v>0</v>
      </c>
      <c r="AH189" s="27">
        <f t="shared" si="206"/>
        <v>0</v>
      </c>
      <c r="AI189" s="27">
        <f t="shared" si="207"/>
        <v>0</v>
      </c>
      <c r="AJ189" s="27">
        <f t="shared" si="208"/>
        <v>0</v>
      </c>
      <c r="AK189" s="27">
        <f t="shared" si="209"/>
        <v>0</v>
      </c>
    </row>
    <row r="190" spans="1:38" ht="20.100000000000001" customHeight="1">
      <c r="A190" s="103" t="s">
        <v>169</v>
      </c>
      <c r="B190" s="103" t="s">
        <v>173</v>
      </c>
      <c r="C190" s="104" t="s">
        <v>171</v>
      </c>
      <c r="D190" s="105">
        <f>[1]공량산출서!F12</f>
        <v>1</v>
      </c>
      <c r="E190" s="106"/>
      <c r="F190" s="106">
        <f t="shared" si="186"/>
        <v>0</v>
      </c>
      <c r="G190" s="106"/>
      <c r="H190" s="106">
        <f t="shared" si="187"/>
        <v>0</v>
      </c>
      <c r="I190" s="106"/>
      <c r="J190" s="106">
        <f t="shared" si="188"/>
        <v>0</v>
      </c>
      <c r="K190" s="106">
        <f t="shared" si="189"/>
        <v>0</v>
      </c>
      <c r="L190" s="106">
        <f t="shared" si="189"/>
        <v>0</v>
      </c>
      <c r="M190" s="130"/>
      <c r="O190" s="31" t="s">
        <v>580</v>
      </c>
      <c r="P190" s="31" t="s">
        <v>452</v>
      </c>
      <c r="Q190" s="27">
        <v>1</v>
      </c>
      <c r="R190" s="27">
        <f t="shared" si="190"/>
        <v>0</v>
      </c>
      <c r="S190" s="27">
        <f t="shared" si="191"/>
        <v>0</v>
      </c>
      <c r="T190" s="27">
        <f t="shared" si="192"/>
        <v>0</v>
      </c>
      <c r="U190" s="27">
        <f t="shared" si="193"/>
        <v>0</v>
      </c>
      <c r="V190" s="27">
        <f t="shared" si="194"/>
        <v>0</v>
      </c>
      <c r="W190" s="27">
        <f t="shared" si="195"/>
        <v>0</v>
      </c>
      <c r="X190" s="27">
        <f t="shared" si="196"/>
        <v>0</v>
      </c>
      <c r="Y190" s="27">
        <f t="shared" si="197"/>
        <v>0</v>
      </c>
      <c r="Z190" s="27">
        <f t="shared" si="198"/>
        <v>0</v>
      </c>
      <c r="AA190" s="27">
        <f t="shared" si="199"/>
        <v>0</v>
      </c>
      <c r="AB190" s="27">
        <f t="shared" si="200"/>
        <v>0</v>
      </c>
      <c r="AC190" s="27">
        <f t="shared" si="201"/>
        <v>0</v>
      </c>
      <c r="AD190" s="27">
        <f t="shared" si="202"/>
        <v>0</v>
      </c>
      <c r="AE190" s="27">
        <f t="shared" si="203"/>
        <v>0</v>
      </c>
      <c r="AF190" s="27">
        <f t="shared" si="204"/>
        <v>0</v>
      </c>
      <c r="AG190" s="27">
        <f t="shared" si="205"/>
        <v>0</v>
      </c>
      <c r="AH190" s="27">
        <f t="shared" si="206"/>
        <v>0</v>
      </c>
      <c r="AI190" s="27">
        <f t="shared" si="207"/>
        <v>0</v>
      </c>
      <c r="AJ190" s="27">
        <f t="shared" si="208"/>
        <v>0</v>
      </c>
      <c r="AK190" s="27">
        <f t="shared" si="209"/>
        <v>0</v>
      </c>
    </row>
    <row r="191" spans="1:38" ht="20.100000000000001" customHeight="1">
      <c r="A191" s="103" t="s">
        <v>169</v>
      </c>
      <c r="B191" s="103" t="s">
        <v>170</v>
      </c>
      <c r="C191" s="104" t="s">
        <v>171</v>
      </c>
      <c r="D191" s="105">
        <f>[1]공량산출서!F14</f>
        <v>1</v>
      </c>
      <c r="E191" s="106"/>
      <c r="F191" s="106">
        <f t="shared" si="186"/>
        <v>0</v>
      </c>
      <c r="G191" s="106"/>
      <c r="H191" s="106">
        <f t="shared" si="187"/>
        <v>0</v>
      </c>
      <c r="I191" s="106"/>
      <c r="J191" s="106">
        <f t="shared" si="188"/>
        <v>0</v>
      </c>
      <c r="K191" s="106">
        <f t="shared" si="189"/>
        <v>0</v>
      </c>
      <c r="L191" s="106">
        <f t="shared" si="189"/>
        <v>0</v>
      </c>
      <c r="M191" s="130"/>
      <c r="O191" s="31" t="s">
        <v>580</v>
      </c>
      <c r="P191" s="31" t="s">
        <v>452</v>
      </c>
      <c r="Q191" s="27">
        <v>1</v>
      </c>
      <c r="R191" s="27">
        <f t="shared" si="190"/>
        <v>0</v>
      </c>
      <c r="S191" s="27">
        <f t="shared" si="191"/>
        <v>0</v>
      </c>
      <c r="T191" s="27">
        <f t="shared" si="192"/>
        <v>0</v>
      </c>
      <c r="U191" s="27">
        <f t="shared" si="193"/>
        <v>0</v>
      </c>
      <c r="V191" s="27">
        <f t="shared" si="194"/>
        <v>0</v>
      </c>
      <c r="W191" s="27">
        <f t="shared" si="195"/>
        <v>0</v>
      </c>
      <c r="X191" s="27">
        <f t="shared" si="196"/>
        <v>0</v>
      </c>
      <c r="Y191" s="27">
        <f t="shared" si="197"/>
        <v>0</v>
      </c>
      <c r="Z191" s="27">
        <f t="shared" si="198"/>
        <v>0</v>
      </c>
      <c r="AA191" s="27">
        <f t="shared" si="199"/>
        <v>0</v>
      </c>
      <c r="AB191" s="27">
        <f t="shared" si="200"/>
        <v>0</v>
      </c>
      <c r="AC191" s="27">
        <f t="shared" si="201"/>
        <v>0</v>
      </c>
      <c r="AD191" s="27">
        <f t="shared" si="202"/>
        <v>0</v>
      </c>
      <c r="AE191" s="27">
        <f t="shared" si="203"/>
        <v>0</v>
      </c>
      <c r="AF191" s="27">
        <f t="shared" si="204"/>
        <v>0</v>
      </c>
      <c r="AG191" s="27">
        <f t="shared" si="205"/>
        <v>0</v>
      </c>
      <c r="AH191" s="27">
        <f t="shared" si="206"/>
        <v>0</v>
      </c>
      <c r="AI191" s="27">
        <f t="shared" si="207"/>
        <v>0</v>
      </c>
      <c r="AJ191" s="27">
        <f t="shared" si="208"/>
        <v>0</v>
      </c>
      <c r="AK191" s="27">
        <f t="shared" si="209"/>
        <v>0</v>
      </c>
    </row>
    <row r="192" spans="1:38" ht="20.100000000000001" customHeight="1">
      <c r="A192" s="103" t="s">
        <v>147</v>
      </c>
      <c r="B192" s="103" t="s">
        <v>148</v>
      </c>
      <c r="C192" s="104" t="s">
        <v>149</v>
      </c>
      <c r="D192" s="105">
        <v>1</v>
      </c>
      <c r="E192" s="106"/>
      <c r="F192" s="106">
        <f t="shared" si="186"/>
        <v>0</v>
      </c>
      <c r="G192" s="106"/>
      <c r="H192" s="106">
        <f t="shared" si="187"/>
        <v>0</v>
      </c>
      <c r="I192" s="106"/>
      <c r="J192" s="106">
        <f t="shared" si="188"/>
        <v>0</v>
      </c>
      <c r="K192" s="106">
        <f t="shared" si="189"/>
        <v>0</v>
      </c>
      <c r="L192" s="106">
        <f t="shared" si="189"/>
        <v>0</v>
      </c>
      <c r="M192" s="130"/>
      <c r="O192" s="31" t="s">
        <v>580</v>
      </c>
      <c r="P192" s="31" t="s">
        <v>452</v>
      </c>
      <c r="Q192" s="27">
        <v>1</v>
      </c>
      <c r="R192" s="27">
        <f t="shared" si="190"/>
        <v>0</v>
      </c>
      <c r="S192" s="27">
        <f t="shared" si="191"/>
        <v>0</v>
      </c>
      <c r="T192" s="27">
        <f t="shared" si="192"/>
        <v>0</v>
      </c>
      <c r="U192" s="27">
        <f t="shared" si="193"/>
        <v>0</v>
      </c>
      <c r="V192" s="27">
        <f t="shared" si="194"/>
        <v>0</v>
      </c>
      <c r="W192" s="27">
        <f t="shared" si="195"/>
        <v>0</v>
      </c>
      <c r="X192" s="27">
        <f t="shared" si="196"/>
        <v>0</v>
      </c>
      <c r="Y192" s="27">
        <f t="shared" si="197"/>
        <v>0</v>
      </c>
      <c r="Z192" s="27">
        <f t="shared" si="198"/>
        <v>0</v>
      </c>
      <c r="AA192" s="27">
        <f t="shared" si="199"/>
        <v>0</v>
      </c>
      <c r="AB192" s="27">
        <f t="shared" si="200"/>
        <v>0</v>
      </c>
      <c r="AC192" s="27">
        <f t="shared" si="201"/>
        <v>0</v>
      </c>
      <c r="AD192" s="27">
        <f t="shared" si="202"/>
        <v>0</v>
      </c>
      <c r="AE192" s="27">
        <f t="shared" si="203"/>
        <v>0</v>
      </c>
      <c r="AF192" s="27">
        <f t="shared" si="204"/>
        <v>0</v>
      </c>
      <c r="AG192" s="27">
        <f t="shared" si="205"/>
        <v>0</v>
      </c>
      <c r="AH192" s="27">
        <f t="shared" si="206"/>
        <v>0</v>
      </c>
      <c r="AI192" s="27">
        <f t="shared" si="207"/>
        <v>0</v>
      </c>
      <c r="AJ192" s="27">
        <f t="shared" si="208"/>
        <v>0</v>
      </c>
      <c r="AK192" s="27">
        <f t="shared" si="209"/>
        <v>0</v>
      </c>
    </row>
    <row r="193" spans="1:37" ht="20.100000000000001" customHeight="1">
      <c r="A193" s="103" t="s">
        <v>674</v>
      </c>
      <c r="B193" s="103" t="str">
        <f>"도기류의 "&amp;N193*100&amp;"%"</f>
        <v>도기류의 3%</v>
      </c>
      <c r="C193" s="109" t="s">
        <v>459</v>
      </c>
      <c r="D193" s="110" t="s">
        <v>460</v>
      </c>
      <c r="E193" s="106"/>
      <c r="F193" s="106">
        <f>ROUNDDOWN(E193*N193,0)</f>
        <v>0</v>
      </c>
      <c r="G193" s="106"/>
      <c r="H193" s="106"/>
      <c r="I193" s="106"/>
      <c r="J193" s="106"/>
      <c r="K193" s="106">
        <f t="shared" si="189"/>
        <v>0</v>
      </c>
      <c r="L193" s="106">
        <f t="shared" si="189"/>
        <v>0</v>
      </c>
      <c r="M193" s="130"/>
      <c r="N193" s="32">
        <v>0.03</v>
      </c>
      <c r="P193" s="31" t="s">
        <v>452</v>
      </c>
      <c r="Q193" s="27">
        <v>1</v>
      </c>
      <c r="R193" s="27">
        <f t="shared" si="190"/>
        <v>0</v>
      </c>
      <c r="S193" s="27">
        <f t="shared" si="191"/>
        <v>0</v>
      </c>
      <c r="T193" s="27">
        <f t="shared" si="192"/>
        <v>0</v>
      </c>
      <c r="U193" s="27">
        <f t="shared" si="193"/>
        <v>0</v>
      </c>
      <c r="V193" s="27">
        <f t="shared" si="194"/>
        <v>0</v>
      </c>
      <c r="W193" s="27">
        <f t="shared" si="195"/>
        <v>0</v>
      </c>
      <c r="X193" s="27">
        <f t="shared" si="196"/>
        <v>0</v>
      </c>
      <c r="Y193" s="27">
        <f t="shared" si="197"/>
        <v>0</v>
      </c>
      <c r="Z193" s="27">
        <f t="shared" si="198"/>
        <v>0</v>
      </c>
      <c r="AA193" s="27">
        <f t="shared" si="199"/>
        <v>0</v>
      </c>
      <c r="AB193" s="27">
        <f t="shared" si="200"/>
        <v>0</v>
      </c>
      <c r="AC193" s="27">
        <f t="shared" si="201"/>
        <v>0</v>
      </c>
      <c r="AD193" s="27">
        <f t="shared" si="202"/>
        <v>0</v>
      </c>
      <c r="AE193" s="27">
        <f t="shared" si="203"/>
        <v>0</v>
      </c>
      <c r="AF193" s="27">
        <f t="shared" si="204"/>
        <v>0</v>
      </c>
      <c r="AG193" s="27">
        <f t="shared" si="205"/>
        <v>0</v>
      </c>
      <c r="AH193" s="27">
        <f t="shared" si="206"/>
        <v>0</v>
      </c>
      <c r="AI193" s="27">
        <f t="shared" si="207"/>
        <v>0</v>
      </c>
      <c r="AJ193" s="27">
        <f t="shared" si="208"/>
        <v>0</v>
      </c>
      <c r="AK193" s="27">
        <f t="shared" si="209"/>
        <v>0</v>
      </c>
    </row>
    <row r="194" spans="1:37" ht="20.100000000000001" customHeight="1">
      <c r="A194" s="103" t="s">
        <v>155</v>
      </c>
      <c r="B194" s="103" t="s">
        <v>156</v>
      </c>
      <c r="C194" s="104" t="s">
        <v>17</v>
      </c>
      <c r="D194" s="105">
        <v>1</v>
      </c>
      <c r="E194" s="106"/>
      <c r="F194" s="106">
        <f t="shared" ref="F194:F205" si="210">ROUNDDOWN(D194*E194,0)</f>
        <v>0</v>
      </c>
      <c r="G194" s="106"/>
      <c r="H194" s="106">
        <f t="shared" ref="H194:H205" si="211">ROUNDDOWN(D194*G194,0)</f>
        <v>0</v>
      </c>
      <c r="I194" s="106"/>
      <c r="J194" s="106">
        <f t="shared" ref="J194:J205" si="212">ROUNDDOWN(D194*I194,0)</f>
        <v>0</v>
      </c>
      <c r="K194" s="106">
        <f t="shared" si="189"/>
        <v>0</v>
      </c>
      <c r="L194" s="106">
        <f t="shared" si="189"/>
        <v>0</v>
      </c>
      <c r="M194" s="130"/>
      <c r="O194" s="31" t="s">
        <v>457</v>
      </c>
      <c r="P194" s="31" t="s">
        <v>452</v>
      </c>
      <c r="Q194" s="27">
        <v>1</v>
      </c>
      <c r="R194" s="27">
        <f t="shared" si="190"/>
        <v>0</v>
      </c>
      <c r="S194" s="27">
        <f t="shared" si="191"/>
        <v>0</v>
      </c>
      <c r="T194" s="27">
        <f t="shared" si="192"/>
        <v>0</v>
      </c>
      <c r="U194" s="27">
        <f t="shared" si="193"/>
        <v>0</v>
      </c>
      <c r="V194" s="27">
        <f t="shared" si="194"/>
        <v>0</v>
      </c>
      <c r="W194" s="27">
        <f t="shared" si="195"/>
        <v>0</v>
      </c>
      <c r="X194" s="27">
        <f t="shared" si="196"/>
        <v>0</v>
      </c>
      <c r="Y194" s="27">
        <f t="shared" si="197"/>
        <v>0</v>
      </c>
      <c r="Z194" s="27">
        <f t="shared" si="198"/>
        <v>0</v>
      </c>
      <c r="AA194" s="27">
        <f t="shared" si="199"/>
        <v>0</v>
      </c>
      <c r="AB194" s="27">
        <f t="shared" si="200"/>
        <v>0</v>
      </c>
      <c r="AC194" s="27">
        <f t="shared" si="201"/>
        <v>0</v>
      </c>
      <c r="AD194" s="27">
        <f t="shared" si="202"/>
        <v>0</v>
      </c>
      <c r="AE194" s="27">
        <f t="shared" si="203"/>
        <v>0</v>
      </c>
      <c r="AF194" s="27">
        <f t="shared" si="204"/>
        <v>0</v>
      </c>
      <c r="AG194" s="27">
        <f t="shared" si="205"/>
        <v>0</v>
      </c>
      <c r="AH194" s="27">
        <f t="shared" si="206"/>
        <v>0</v>
      </c>
      <c r="AI194" s="27">
        <f t="shared" si="207"/>
        <v>0</v>
      </c>
      <c r="AJ194" s="27">
        <f t="shared" si="208"/>
        <v>0</v>
      </c>
      <c r="AK194" s="27">
        <f t="shared" si="209"/>
        <v>0</v>
      </c>
    </row>
    <row r="195" spans="1:37" ht="20.100000000000001" customHeight="1">
      <c r="A195" s="103" t="s">
        <v>178</v>
      </c>
      <c r="B195" s="103" t="s">
        <v>179</v>
      </c>
      <c r="C195" s="104" t="s">
        <v>17</v>
      </c>
      <c r="D195" s="105">
        <f>[1]공량산출서!F16</f>
        <v>1</v>
      </c>
      <c r="E195" s="106"/>
      <c r="F195" s="106">
        <f t="shared" si="210"/>
        <v>0</v>
      </c>
      <c r="G195" s="106"/>
      <c r="H195" s="106">
        <f t="shared" si="211"/>
        <v>0</v>
      </c>
      <c r="I195" s="106"/>
      <c r="J195" s="106">
        <f t="shared" si="212"/>
        <v>0</v>
      </c>
      <c r="K195" s="106">
        <f t="shared" si="189"/>
        <v>0</v>
      </c>
      <c r="L195" s="106">
        <f t="shared" si="189"/>
        <v>0</v>
      </c>
      <c r="M195" s="130"/>
      <c r="O195" s="31" t="s">
        <v>457</v>
      </c>
      <c r="P195" s="31" t="s">
        <v>452</v>
      </c>
      <c r="Q195" s="27">
        <v>1</v>
      </c>
      <c r="R195" s="27">
        <f t="shared" si="190"/>
        <v>0</v>
      </c>
      <c r="S195" s="27">
        <f t="shared" si="191"/>
        <v>0</v>
      </c>
      <c r="T195" s="27">
        <f t="shared" si="192"/>
        <v>0</v>
      </c>
      <c r="U195" s="27">
        <f t="shared" si="193"/>
        <v>0</v>
      </c>
      <c r="V195" s="27">
        <f t="shared" si="194"/>
        <v>0</v>
      </c>
      <c r="W195" s="27">
        <f t="shared" si="195"/>
        <v>0</v>
      </c>
      <c r="X195" s="27">
        <f t="shared" si="196"/>
        <v>0</v>
      </c>
      <c r="Y195" s="27">
        <f t="shared" si="197"/>
        <v>0</v>
      </c>
      <c r="Z195" s="27">
        <f t="shared" si="198"/>
        <v>0</v>
      </c>
      <c r="AA195" s="27">
        <f t="shared" si="199"/>
        <v>0</v>
      </c>
      <c r="AB195" s="27">
        <f t="shared" si="200"/>
        <v>0</v>
      </c>
      <c r="AC195" s="27">
        <f t="shared" si="201"/>
        <v>0</v>
      </c>
      <c r="AD195" s="27">
        <f t="shared" si="202"/>
        <v>0</v>
      </c>
      <c r="AE195" s="27">
        <f t="shared" si="203"/>
        <v>0</v>
      </c>
      <c r="AF195" s="27">
        <f t="shared" si="204"/>
        <v>0</v>
      </c>
      <c r="AG195" s="27">
        <f t="shared" si="205"/>
        <v>0</v>
      </c>
      <c r="AH195" s="27">
        <f t="shared" si="206"/>
        <v>0</v>
      </c>
      <c r="AI195" s="27">
        <f t="shared" si="207"/>
        <v>0</v>
      </c>
      <c r="AJ195" s="27">
        <f t="shared" si="208"/>
        <v>0</v>
      </c>
      <c r="AK195" s="27">
        <f t="shared" si="209"/>
        <v>0</v>
      </c>
    </row>
    <row r="196" spans="1:37" ht="20.100000000000001" customHeight="1">
      <c r="A196" s="103" t="s">
        <v>175</v>
      </c>
      <c r="B196" s="103" t="s">
        <v>176</v>
      </c>
      <c r="C196" s="104" t="s">
        <v>17</v>
      </c>
      <c r="D196" s="105">
        <f>[1]공량산출서!F18</f>
        <v>1</v>
      </c>
      <c r="E196" s="106"/>
      <c r="F196" s="106">
        <f t="shared" si="210"/>
        <v>0</v>
      </c>
      <c r="G196" s="106"/>
      <c r="H196" s="106">
        <f t="shared" si="211"/>
        <v>0</v>
      </c>
      <c r="I196" s="106"/>
      <c r="J196" s="106">
        <f t="shared" si="212"/>
        <v>0</v>
      </c>
      <c r="K196" s="106">
        <f t="shared" si="189"/>
        <v>0</v>
      </c>
      <c r="L196" s="106">
        <f t="shared" si="189"/>
        <v>0</v>
      </c>
      <c r="M196" s="130"/>
      <c r="O196" s="31" t="s">
        <v>457</v>
      </c>
      <c r="P196" s="31" t="s">
        <v>452</v>
      </c>
      <c r="Q196" s="27">
        <v>1</v>
      </c>
      <c r="R196" s="27">
        <f t="shared" si="190"/>
        <v>0</v>
      </c>
      <c r="S196" s="27">
        <f t="shared" si="191"/>
        <v>0</v>
      </c>
      <c r="T196" s="27">
        <f t="shared" si="192"/>
        <v>0</v>
      </c>
      <c r="U196" s="27">
        <f t="shared" si="193"/>
        <v>0</v>
      </c>
      <c r="V196" s="27">
        <f t="shared" si="194"/>
        <v>0</v>
      </c>
      <c r="W196" s="27">
        <f t="shared" si="195"/>
        <v>0</v>
      </c>
      <c r="X196" s="27">
        <f t="shared" si="196"/>
        <v>0</v>
      </c>
      <c r="Y196" s="27">
        <f t="shared" si="197"/>
        <v>0</v>
      </c>
      <c r="Z196" s="27">
        <f t="shared" si="198"/>
        <v>0</v>
      </c>
      <c r="AA196" s="27">
        <f t="shared" si="199"/>
        <v>0</v>
      </c>
      <c r="AB196" s="27">
        <f t="shared" si="200"/>
        <v>0</v>
      </c>
      <c r="AC196" s="27">
        <f t="shared" si="201"/>
        <v>0</v>
      </c>
      <c r="AD196" s="27">
        <f t="shared" si="202"/>
        <v>0</v>
      </c>
      <c r="AE196" s="27">
        <f t="shared" si="203"/>
        <v>0</v>
      </c>
      <c r="AF196" s="27">
        <f t="shared" si="204"/>
        <v>0</v>
      </c>
      <c r="AG196" s="27">
        <f t="shared" si="205"/>
        <v>0</v>
      </c>
      <c r="AH196" s="27">
        <f t="shared" si="206"/>
        <v>0</v>
      </c>
      <c r="AI196" s="27">
        <f t="shared" si="207"/>
        <v>0</v>
      </c>
      <c r="AJ196" s="27">
        <f t="shared" si="208"/>
        <v>0</v>
      </c>
      <c r="AK196" s="27">
        <f t="shared" si="209"/>
        <v>0</v>
      </c>
    </row>
    <row r="197" spans="1:37" ht="20.100000000000001" customHeight="1">
      <c r="A197" s="103" t="s">
        <v>157</v>
      </c>
      <c r="B197" s="103" t="s">
        <v>158</v>
      </c>
      <c r="C197" s="104" t="s">
        <v>17</v>
      </c>
      <c r="D197" s="105">
        <f>[1]공량산출서!F20</f>
        <v>1</v>
      </c>
      <c r="E197" s="106"/>
      <c r="F197" s="106">
        <f t="shared" si="210"/>
        <v>0</v>
      </c>
      <c r="G197" s="106"/>
      <c r="H197" s="106">
        <f t="shared" si="211"/>
        <v>0</v>
      </c>
      <c r="I197" s="106"/>
      <c r="J197" s="106">
        <f t="shared" si="212"/>
        <v>0</v>
      </c>
      <c r="K197" s="106">
        <f t="shared" si="189"/>
        <v>0</v>
      </c>
      <c r="L197" s="106">
        <f t="shared" si="189"/>
        <v>0</v>
      </c>
      <c r="M197" s="130"/>
      <c r="O197" s="31" t="s">
        <v>457</v>
      </c>
      <c r="P197" s="31" t="s">
        <v>452</v>
      </c>
      <c r="Q197" s="27">
        <v>1</v>
      </c>
      <c r="R197" s="27">
        <f t="shared" si="190"/>
        <v>0</v>
      </c>
      <c r="S197" s="27">
        <f t="shared" si="191"/>
        <v>0</v>
      </c>
      <c r="T197" s="27">
        <f t="shared" si="192"/>
        <v>0</v>
      </c>
      <c r="U197" s="27">
        <f t="shared" si="193"/>
        <v>0</v>
      </c>
      <c r="V197" s="27">
        <f t="shared" si="194"/>
        <v>0</v>
      </c>
      <c r="W197" s="27">
        <f t="shared" si="195"/>
        <v>0</v>
      </c>
      <c r="X197" s="27">
        <f t="shared" si="196"/>
        <v>0</v>
      </c>
      <c r="Y197" s="27">
        <f t="shared" si="197"/>
        <v>0</v>
      </c>
      <c r="Z197" s="27">
        <f t="shared" si="198"/>
        <v>0</v>
      </c>
      <c r="AA197" s="27">
        <f t="shared" si="199"/>
        <v>0</v>
      </c>
      <c r="AB197" s="27">
        <f t="shared" si="200"/>
        <v>0</v>
      </c>
      <c r="AC197" s="27">
        <f t="shared" si="201"/>
        <v>0</v>
      </c>
      <c r="AD197" s="27">
        <f t="shared" si="202"/>
        <v>0</v>
      </c>
      <c r="AE197" s="27">
        <f t="shared" si="203"/>
        <v>0</v>
      </c>
      <c r="AF197" s="27">
        <f t="shared" si="204"/>
        <v>0</v>
      </c>
      <c r="AG197" s="27">
        <f t="shared" si="205"/>
        <v>0</v>
      </c>
      <c r="AH197" s="27">
        <f t="shared" si="206"/>
        <v>0</v>
      </c>
      <c r="AI197" s="27">
        <f t="shared" si="207"/>
        <v>0</v>
      </c>
      <c r="AJ197" s="27">
        <f t="shared" si="208"/>
        <v>0</v>
      </c>
      <c r="AK197" s="27">
        <f t="shared" si="209"/>
        <v>0</v>
      </c>
    </row>
    <row r="198" spans="1:37" ht="20.100000000000001" customHeight="1">
      <c r="A198" s="103" t="s">
        <v>238</v>
      </c>
      <c r="B198" s="103" t="s">
        <v>239</v>
      </c>
      <c r="C198" s="104" t="s">
        <v>17</v>
      </c>
      <c r="D198" s="105">
        <f>[1]공량산출서!F22</f>
        <v>2</v>
      </c>
      <c r="E198" s="106"/>
      <c r="F198" s="106">
        <f t="shared" si="210"/>
        <v>0</v>
      </c>
      <c r="G198" s="106"/>
      <c r="H198" s="106">
        <f t="shared" si="211"/>
        <v>0</v>
      </c>
      <c r="I198" s="106"/>
      <c r="J198" s="106">
        <f t="shared" si="212"/>
        <v>0</v>
      </c>
      <c r="K198" s="106">
        <f t="shared" si="189"/>
        <v>0</v>
      </c>
      <c r="L198" s="106">
        <f t="shared" si="189"/>
        <v>0</v>
      </c>
      <c r="M198" s="130"/>
      <c r="O198" s="31" t="s">
        <v>457</v>
      </c>
      <c r="P198" s="31" t="s">
        <v>452</v>
      </c>
      <c r="Q198" s="27">
        <v>1</v>
      </c>
      <c r="R198" s="27">
        <f t="shared" si="190"/>
        <v>0</v>
      </c>
      <c r="S198" s="27">
        <f t="shared" si="191"/>
        <v>0</v>
      </c>
      <c r="T198" s="27">
        <f t="shared" si="192"/>
        <v>0</v>
      </c>
      <c r="U198" s="27">
        <f t="shared" si="193"/>
        <v>0</v>
      </c>
      <c r="V198" s="27">
        <f t="shared" si="194"/>
        <v>0</v>
      </c>
      <c r="W198" s="27">
        <f t="shared" si="195"/>
        <v>0</v>
      </c>
      <c r="X198" s="27">
        <f t="shared" si="196"/>
        <v>0</v>
      </c>
      <c r="Y198" s="27">
        <f t="shared" si="197"/>
        <v>0</v>
      </c>
      <c r="Z198" s="27">
        <f t="shared" si="198"/>
        <v>0</v>
      </c>
      <c r="AA198" s="27">
        <f t="shared" si="199"/>
        <v>0</v>
      </c>
      <c r="AB198" s="27">
        <f t="shared" si="200"/>
        <v>0</v>
      </c>
      <c r="AC198" s="27">
        <f t="shared" si="201"/>
        <v>0</v>
      </c>
      <c r="AD198" s="27">
        <f t="shared" si="202"/>
        <v>0</v>
      </c>
      <c r="AE198" s="27">
        <f t="shared" si="203"/>
        <v>0</v>
      </c>
      <c r="AF198" s="27">
        <f t="shared" si="204"/>
        <v>0</v>
      </c>
      <c r="AG198" s="27">
        <f t="shared" si="205"/>
        <v>0</v>
      </c>
      <c r="AH198" s="27">
        <f t="shared" si="206"/>
        <v>0</v>
      </c>
      <c r="AI198" s="27">
        <f t="shared" si="207"/>
        <v>0</v>
      </c>
      <c r="AJ198" s="27">
        <f t="shared" si="208"/>
        <v>0</v>
      </c>
      <c r="AK198" s="27">
        <f t="shared" si="209"/>
        <v>0</v>
      </c>
    </row>
    <row r="199" spans="1:37" ht="20.100000000000001" customHeight="1">
      <c r="A199" s="103" t="s">
        <v>331</v>
      </c>
      <c r="B199" s="103" t="s">
        <v>332</v>
      </c>
      <c r="C199" s="104" t="s">
        <v>17</v>
      </c>
      <c r="D199" s="105">
        <f>[1]공량산출서!F24</f>
        <v>2</v>
      </c>
      <c r="E199" s="106"/>
      <c r="F199" s="106">
        <f t="shared" si="210"/>
        <v>0</v>
      </c>
      <c r="G199" s="106"/>
      <c r="H199" s="106">
        <f t="shared" si="211"/>
        <v>0</v>
      </c>
      <c r="I199" s="106"/>
      <c r="J199" s="106">
        <f t="shared" si="212"/>
        <v>0</v>
      </c>
      <c r="K199" s="106">
        <f t="shared" si="189"/>
        <v>0</v>
      </c>
      <c r="L199" s="106">
        <f t="shared" si="189"/>
        <v>0</v>
      </c>
      <c r="M199" s="130"/>
      <c r="O199" s="31" t="s">
        <v>457</v>
      </c>
      <c r="P199" s="31" t="s">
        <v>452</v>
      </c>
      <c r="Q199" s="27">
        <v>1</v>
      </c>
      <c r="R199" s="27">
        <f t="shared" si="190"/>
        <v>0</v>
      </c>
      <c r="S199" s="27">
        <f t="shared" si="191"/>
        <v>0</v>
      </c>
      <c r="T199" s="27">
        <f t="shared" si="192"/>
        <v>0</v>
      </c>
      <c r="U199" s="27">
        <f t="shared" si="193"/>
        <v>0</v>
      </c>
      <c r="V199" s="27">
        <f t="shared" si="194"/>
        <v>0</v>
      </c>
      <c r="W199" s="27">
        <f t="shared" si="195"/>
        <v>0</v>
      </c>
      <c r="X199" s="27">
        <f t="shared" si="196"/>
        <v>0</v>
      </c>
      <c r="Y199" s="27">
        <f t="shared" si="197"/>
        <v>0</v>
      </c>
      <c r="Z199" s="27">
        <f t="shared" si="198"/>
        <v>0</v>
      </c>
      <c r="AA199" s="27">
        <f t="shared" si="199"/>
        <v>0</v>
      </c>
      <c r="AB199" s="27">
        <f t="shared" si="200"/>
        <v>0</v>
      </c>
      <c r="AC199" s="27">
        <f t="shared" si="201"/>
        <v>0</v>
      </c>
      <c r="AD199" s="27">
        <f t="shared" si="202"/>
        <v>0</v>
      </c>
      <c r="AE199" s="27">
        <f t="shared" si="203"/>
        <v>0</v>
      </c>
      <c r="AF199" s="27">
        <f t="shared" si="204"/>
        <v>0</v>
      </c>
      <c r="AG199" s="27">
        <f t="shared" si="205"/>
        <v>0</v>
      </c>
      <c r="AH199" s="27">
        <f t="shared" si="206"/>
        <v>0</v>
      </c>
      <c r="AI199" s="27">
        <f t="shared" si="207"/>
        <v>0</v>
      </c>
      <c r="AJ199" s="27">
        <f t="shared" si="208"/>
        <v>0</v>
      </c>
      <c r="AK199" s="27">
        <f t="shared" si="209"/>
        <v>0</v>
      </c>
    </row>
    <row r="200" spans="1:37" ht="20.100000000000001" customHeight="1">
      <c r="A200" s="103" t="s">
        <v>333</v>
      </c>
      <c r="B200" s="103" t="s">
        <v>334</v>
      </c>
      <c r="C200" s="104" t="s">
        <v>17</v>
      </c>
      <c r="D200" s="105">
        <f>[1]공량산출서!F26</f>
        <v>2</v>
      </c>
      <c r="E200" s="106"/>
      <c r="F200" s="106">
        <f t="shared" si="210"/>
        <v>0</v>
      </c>
      <c r="G200" s="106"/>
      <c r="H200" s="106">
        <f t="shared" si="211"/>
        <v>0</v>
      </c>
      <c r="I200" s="106"/>
      <c r="J200" s="106">
        <f t="shared" si="212"/>
        <v>0</v>
      </c>
      <c r="K200" s="106">
        <f t="shared" si="189"/>
        <v>0</v>
      </c>
      <c r="L200" s="106">
        <f t="shared" si="189"/>
        <v>0</v>
      </c>
      <c r="M200" s="130"/>
      <c r="O200" s="31" t="s">
        <v>457</v>
      </c>
      <c r="P200" s="31" t="s">
        <v>452</v>
      </c>
      <c r="Q200" s="27">
        <v>1</v>
      </c>
      <c r="R200" s="27">
        <f t="shared" si="190"/>
        <v>0</v>
      </c>
      <c r="S200" s="27">
        <f t="shared" si="191"/>
        <v>0</v>
      </c>
      <c r="T200" s="27">
        <f t="shared" si="192"/>
        <v>0</v>
      </c>
      <c r="U200" s="27">
        <f t="shared" si="193"/>
        <v>0</v>
      </c>
      <c r="V200" s="27">
        <f t="shared" si="194"/>
        <v>0</v>
      </c>
      <c r="W200" s="27">
        <f t="shared" si="195"/>
        <v>0</v>
      </c>
      <c r="X200" s="27">
        <f t="shared" si="196"/>
        <v>0</v>
      </c>
      <c r="Y200" s="27">
        <f t="shared" si="197"/>
        <v>0</v>
      </c>
      <c r="Z200" s="27">
        <f t="shared" si="198"/>
        <v>0</v>
      </c>
      <c r="AA200" s="27">
        <f t="shared" si="199"/>
        <v>0</v>
      </c>
      <c r="AB200" s="27">
        <f t="shared" si="200"/>
        <v>0</v>
      </c>
      <c r="AC200" s="27">
        <f t="shared" si="201"/>
        <v>0</v>
      </c>
      <c r="AD200" s="27">
        <f t="shared" si="202"/>
        <v>0</v>
      </c>
      <c r="AE200" s="27">
        <f t="shared" si="203"/>
        <v>0</v>
      </c>
      <c r="AF200" s="27">
        <f t="shared" si="204"/>
        <v>0</v>
      </c>
      <c r="AG200" s="27">
        <f t="shared" si="205"/>
        <v>0</v>
      </c>
      <c r="AH200" s="27">
        <f t="shared" si="206"/>
        <v>0</v>
      </c>
      <c r="AI200" s="27">
        <f t="shared" si="207"/>
        <v>0</v>
      </c>
      <c r="AJ200" s="27">
        <f t="shared" si="208"/>
        <v>0</v>
      </c>
      <c r="AK200" s="27">
        <f t="shared" si="209"/>
        <v>0</v>
      </c>
    </row>
    <row r="201" spans="1:37" ht="20.100000000000001" customHeight="1">
      <c r="A201" s="103" t="s">
        <v>333</v>
      </c>
      <c r="B201" s="103" t="s">
        <v>336</v>
      </c>
      <c r="C201" s="104" t="s">
        <v>17</v>
      </c>
      <c r="D201" s="105">
        <f>[1]공량산출서!F28</f>
        <v>2</v>
      </c>
      <c r="E201" s="106"/>
      <c r="F201" s="106">
        <f t="shared" si="210"/>
        <v>0</v>
      </c>
      <c r="G201" s="106"/>
      <c r="H201" s="106">
        <f t="shared" si="211"/>
        <v>0</v>
      </c>
      <c r="I201" s="106"/>
      <c r="J201" s="106">
        <f t="shared" si="212"/>
        <v>0</v>
      </c>
      <c r="K201" s="106">
        <f t="shared" si="189"/>
        <v>0</v>
      </c>
      <c r="L201" s="106">
        <f t="shared" si="189"/>
        <v>0</v>
      </c>
      <c r="M201" s="130"/>
      <c r="O201" s="31" t="s">
        <v>457</v>
      </c>
      <c r="P201" s="31" t="s">
        <v>452</v>
      </c>
      <c r="Q201" s="27">
        <v>1</v>
      </c>
      <c r="R201" s="27">
        <f t="shared" si="190"/>
        <v>0</v>
      </c>
      <c r="S201" s="27">
        <f t="shared" si="191"/>
        <v>0</v>
      </c>
      <c r="T201" s="27">
        <f t="shared" si="192"/>
        <v>0</v>
      </c>
      <c r="U201" s="27">
        <f t="shared" si="193"/>
        <v>0</v>
      </c>
      <c r="V201" s="27">
        <f t="shared" si="194"/>
        <v>0</v>
      </c>
      <c r="W201" s="27">
        <f t="shared" si="195"/>
        <v>0</v>
      </c>
      <c r="X201" s="27">
        <f t="shared" si="196"/>
        <v>0</v>
      </c>
      <c r="Y201" s="27">
        <f t="shared" si="197"/>
        <v>0</v>
      </c>
      <c r="Z201" s="27">
        <f t="shared" si="198"/>
        <v>0</v>
      </c>
      <c r="AA201" s="27">
        <f t="shared" si="199"/>
        <v>0</v>
      </c>
      <c r="AB201" s="27">
        <f t="shared" si="200"/>
        <v>0</v>
      </c>
      <c r="AC201" s="27">
        <f t="shared" si="201"/>
        <v>0</v>
      </c>
      <c r="AD201" s="27">
        <f t="shared" si="202"/>
        <v>0</v>
      </c>
      <c r="AE201" s="27">
        <f t="shared" si="203"/>
        <v>0</v>
      </c>
      <c r="AF201" s="27">
        <f t="shared" si="204"/>
        <v>0</v>
      </c>
      <c r="AG201" s="27">
        <f t="shared" si="205"/>
        <v>0</v>
      </c>
      <c r="AH201" s="27">
        <f t="shared" si="206"/>
        <v>0</v>
      </c>
      <c r="AI201" s="27">
        <f t="shared" si="207"/>
        <v>0</v>
      </c>
      <c r="AJ201" s="27">
        <f t="shared" si="208"/>
        <v>0</v>
      </c>
      <c r="AK201" s="27">
        <f t="shared" si="209"/>
        <v>0</v>
      </c>
    </row>
    <row r="202" spans="1:37" ht="20.100000000000001" customHeight="1">
      <c r="A202" s="103" t="s">
        <v>333</v>
      </c>
      <c r="B202" s="103" t="s">
        <v>337</v>
      </c>
      <c r="C202" s="104" t="s">
        <v>17</v>
      </c>
      <c r="D202" s="105">
        <f>[1]공량산출서!F30</f>
        <v>2</v>
      </c>
      <c r="E202" s="106"/>
      <c r="F202" s="106">
        <f t="shared" si="210"/>
        <v>0</v>
      </c>
      <c r="G202" s="106"/>
      <c r="H202" s="106">
        <f t="shared" si="211"/>
        <v>0</v>
      </c>
      <c r="I202" s="106"/>
      <c r="J202" s="106">
        <f t="shared" si="212"/>
        <v>0</v>
      </c>
      <c r="K202" s="106">
        <f t="shared" si="189"/>
        <v>0</v>
      </c>
      <c r="L202" s="106">
        <f t="shared" si="189"/>
        <v>0</v>
      </c>
      <c r="M202" s="130"/>
      <c r="O202" s="31" t="s">
        <v>457</v>
      </c>
      <c r="P202" s="31" t="s">
        <v>452</v>
      </c>
      <c r="Q202" s="27">
        <v>1</v>
      </c>
      <c r="R202" s="27">
        <f t="shared" si="190"/>
        <v>0</v>
      </c>
      <c r="S202" s="27">
        <f t="shared" si="191"/>
        <v>0</v>
      </c>
      <c r="T202" s="27">
        <f t="shared" si="192"/>
        <v>0</v>
      </c>
      <c r="U202" s="27">
        <f t="shared" si="193"/>
        <v>0</v>
      </c>
      <c r="V202" s="27">
        <f t="shared" si="194"/>
        <v>0</v>
      </c>
      <c r="W202" s="27">
        <f t="shared" si="195"/>
        <v>0</v>
      </c>
      <c r="X202" s="27">
        <f t="shared" si="196"/>
        <v>0</v>
      </c>
      <c r="Y202" s="27">
        <f t="shared" si="197"/>
        <v>0</v>
      </c>
      <c r="Z202" s="27">
        <f t="shared" si="198"/>
        <v>0</v>
      </c>
      <c r="AA202" s="27">
        <f t="shared" si="199"/>
        <v>0</v>
      </c>
      <c r="AB202" s="27">
        <f t="shared" si="200"/>
        <v>0</v>
      </c>
      <c r="AC202" s="27">
        <f t="shared" si="201"/>
        <v>0</v>
      </c>
      <c r="AD202" s="27">
        <f t="shared" si="202"/>
        <v>0</v>
      </c>
      <c r="AE202" s="27">
        <f t="shared" si="203"/>
        <v>0</v>
      </c>
      <c r="AF202" s="27">
        <f t="shared" si="204"/>
        <v>0</v>
      </c>
      <c r="AG202" s="27">
        <f t="shared" si="205"/>
        <v>0</v>
      </c>
      <c r="AH202" s="27">
        <f t="shared" si="206"/>
        <v>0</v>
      </c>
      <c r="AI202" s="27">
        <f t="shared" si="207"/>
        <v>0</v>
      </c>
      <c r="AJ202" s="27">
        <f t="shared" si="208"/>
        <v>0</v>
      </c>
      <c r="AK202" s="27">
        <f t="shared" si="209"/>
        <v>0</v>
      </c>
    </row>
    <row r="203" spans="1:37" ht="20.100000000000001" customHeight="1">
      <c r="A203" s="103" t="s">
        <v>342</v>
      </c>
      <c r="B203" s="103"/>
      <c r="C203" s="104" t="s">
        <v>339</v>
      </c>
      <c r="D203" s="105">
        <f>[1]공량산출서!G41</f>
        <v>1</v>
      </c>
      <c r="E203" s="106"/>
      <c r="F203" s="106">
        <f t="shared" si="210"/>
        <v>0</v>
      </c>
      <c r="G203" s="106"/>
      <c r="H203" s="106">
        <f t="shared" si="211"/>
        <v>0</v>
      </c>
      <c r="I203" s="106"/>
      <c r="J203" s="106">
        <f t="shared" si="212"/>
        <v>0</v>
      </c>
      <c r="K203" s="106">
        <f t="shared" si="189"/>
        <v>0</v>
      </c>
      <c r="L203" s="106">
        <f t="shared" si="189"/>
        <v>0</v>
      </c>
      <c r="M203" s="135"/>
      <c r="O203" s="31" t="s">
        <v>462</v>
      </c>
      <c r="P203" s="31" t="s">
        <v>452</v>
      </c>
      <c r="Q203" s="27">
        <v>1</v>
      </c>
      <c r="R203" s="27">
        <f t="shared" si="190"/>
        <v>0</v>
      </c>
      <c r="S203" s="27">
        <f t="shared" si="191"/>
        <v>0</v>
      </c>
      <c r="T203" s="27">
        <f t="shared" si="192"/>
        <v>0</v>
      </c>
      <c r="U203" s="27">
        <f t="shared" si="193"/>
        <v>0</v>
      </c>
      <c r="V203" s="27">
        <f t="shared" si="194"/>
        <v>0</v>
      </c>
      <c r="W203" s="27">
        <f t="shared" si="195"/>
        <v>0</v>
      </c>
      <c r="X203" s="27">
        <f t="shared" si="196"/>
        <v>0</v>
      </c>
      <c r="Y203" s="27">
        <f t="shared" si="197"/>
        <v>0</v>
      </c>
      <c r="Z203" s="27">
        <f t="shared" si="198"/>
        <v>0</v>
      </c>
      <c r="AA203" s="27">
        <f t="shared" si="199"/>
        <v>0</v>
      </c>
      <c r="AB203" s="27">
        <f t="shared" si="200"/>
        <v>0</v>
      </c>
      <c r="AC203" s="27">
        <f t="shared" si="201"/>
        <v>0</v>
      </c>
      <c r="AD203" s="27">
        <f t="shared" si="202"/>
        <v>0</v>
      </c>
      <c r="AE203" s="27">
        <f t="shared" si="203"/>
        <v>0</v>
      </c>
      <c r="AF203" s="27">
        <f t="shared" si="204"/>
        <v>0</v>
      </c>
      <c r="AG203" s="27">
        <f t="shared" si="205"/>
        <v>0</v>
      </c>
      <c r="AH203" s="27">
        <f t="shared" si="206"/>
        <v>0</v>
      </c>
      <c r="AI203" s="27">
        <f t="shared" si="207"/>
        <v>0</v>
      </c>
      <c r="AJ203" s="27">
        <f t="shared" si="208"/>
        <v>0</v>
      </c>
      <c r="AK203" s="27">
        <f t="shared" si="209"/>
        <v>0</v>
      </c>
    </row>
    <row r="204" spans="1:37" ht="20.100000000000001" customHeight="1">
      <c r="A204" s="103" t="s">
        <v>352</v>
      </c>
      <c r="B204" s="103"/>
      <c r="C204" s="104" t="s">
        <v>339</v>
      </c>
      <c r="D204" s="105">
        <f>[1]공량산출서!H41</f>
        <v>1.1000000000000001</v>
      </c>
      <c r="E204" s="106"/>
      <c r="F204" s="106">
        <f t="shared" si="210"/>
        <v>0</v>
      </c>
      <c r="G204" s="106"/>
      <c r="H204" s="106">
        <f t="shared" si="211"/>
        <v>0</v>
      </c>
      <c r="I204" s="106"/>
      <c r="J204" s="106">
        <f t="shared" si="212"/>
        <v>0</v>
      </c>
      <c r="K204" s="106">
        <f t="shared" si="189"/>
        <v>0</v>
      </c>
      <c r="L204" s="106">
        <f t="shared" si="189"/>
        <v>0</v>
      </c>
      <c r="M204" s="130"/>
      <c r="O204" s="31" t="s">
        <v>462</v>
      </c>
      <c r="P204" s="31" t="s">
        <v>452</v>
      </c>
      <c r="Q204" s="27">
        <v>1</v>
      </c>
      <c r="R204" s="27">
        <f t="shared" si="190"/>
        <v>0</v>
      </c>
      <c r="S204" s="27">
        <f t="shared" si="191"/>
        <v>0</v>
      </c>
      <c r="T204" s="27">
        <f t="shared" si="192"/>
        <v>0</v>
      </c>
      <c r="U204" s="27">
        <f t="shared" si="193"/>
        <v>0</v>
      </c>
      <c r="V204" s="27">
        <f t="shared" si="194"/>
        <v>0</v>
      </c>
      <c r="W204" s="27">
        <f t="shared" si="195"/>
        <v>0</v>
      </c>
      <c r="X204" s="27">
        <f t="shared" si="196"/>
        <v>0</v>
      </c>
      <c r="Y204" s="27">
        <f t="shared" si="197"/>
        <v>0</v>
      </c>
      <c r="Z204" s="27">
        <f t="shared" si="198"/>
        <v>0</v>
      </c>
      <c r="AA204" s="27">
        <f t="shared" si="199"/>
        <v>0</v>
      </c>
      <c r="AB204" s="27">
        <f t="shared" si="200"/>
        <v>0</v>
      </c>
      <c r="AC204" s="27">
        <f t="shared" si="201"/>
        <v>0</v>
      </c>
      <c r="AD204" s="27">
        <f t="shared" si="202"/>
        <v>0</v>
      </c>
      <c r="AE204" s="27">
        <f t="shared" si="203"/>
        <v>0</v>
      </c>
      <c r="AF204" s="27">
        <f t="shared" si="204"/>
        <v>0</v>
      </c>
      <c r="AG204" s="27">
        <f t="shared" si="205"/>
        <v>0</v>
      </c>
      <c r="AH204" s="27">
        <f t="shared" si="206"/>
        <v>0</v>
      </c>
      <c r="AI204" s="27">
        <f t="shared" si="207"/>
        <v>0</v>
      </c>
      <c r="AJ204" s="27">
        <f t="shared" si="208"/>
        <v>0</v>
      </c>
      <c r="AK204" s="27">
        <f t="shared" si="209"/>
        <v>0</v>
      </c>
    </row>
    <row r="205" spans="1:37" ht="20.100000000000001" customHeight="1">
      <c r="A205" s="103" t="s">
        <v>355</v>
      </c>
      <c r="B205" s="103"/>
      <c r="C205" s="104" t="s">
        <v>339</v>
      </c>
      <c r="D205" s="105">
        <f>[1]공량산출서!I41</f>
        <v>4.5</v>
      </c>
      <c r="E205" s="106"/>
      <c r="F205" s="106">
        <f t="shared" si="210"/>
        <v>0</v>
      </c>
      <c r="G205" s="106"/>
      <c r="H205" s="106">
        <f t="shared" si="211"/>
        <v>0</v>
      </c>
      <c r="I205" s="106"/>
      <c r="J205" s="106">
        <f t="shared" si="212"/>
        <v>0</v>
      </c>
      <c r="K205" s="106">
        <f t="shared" si="189"/>
        <v>0</v>
      </c>
      <c r="L205" s="106">
        <f t="shared" si="189"/>
        <v>0</v>
      </c>
      <c r="M205" s="130"/>
      <c r="O205" s="31" t="s">
        <v>462</v>
      </c>
      <c r="P205" s="31" t="s">
        <v>452</v>
      </c>
      <c r="Q205" s="27">
        <v>1</v>
      </c>
      <c r="R205" s="27">
        <f t="shared" si="190"/>
        <v>0</v>
      </c>
      <c r="S205" s="27">
        <f t="shared" si="191"/>
        <v>0</v>
      </c>
      <c r="T205" s="27">
        <f t="shared" si="192"/>
        <v>0</v>
      </c>
      <c r="U205" s="27">
        <f t="shared" si="193"/>
        <v>0</v>
      </c>
      <c r="V205" s="27">
        <f t="shared" si="194"/>
        <v>0</v>
      </c>
      <c r="W205" s="27">
        <f t="shared" si="195"/>
        <v>0</v>
      </c>
      <c r="X205" s="27">
        <f t="shared" si="196"/>
        <v>0</v>
      </c>
      <c r="Y205" s="27">
        <f t="shared" si="197"/>
        <v>0</v>
      </c>
      <c r="Z205" s="27">
        <f t="shared" si="198"/>
        <v>0</v>
      </c>
      <c r="AA205" s="27">
        <f t="shared" si="199"/>
        <v>0</v>
      </c>
      <c r="AB205" s="27">
        <f t="shared" si="200"/>
        <v>0</v>
      </c>
      <c r="AC205" s="27">
        <f t="shared" si="201"/>
        <v>0</v>
      </c>
      <c r="AD205" s="27">
        <f t="shared" si="202"/>
        <v>0</v>
      </c>
      <c r="AE205" s="27">
        <f t="shared" si="203"/>
        <v>0</v>
      </c>
      <c r="AF205" s="27">
        <f t="shared" si="204"/>
        <v>0</v>
      </c>
      <c r="AG205" s="27">
        <f t="shared" si="205"/>
        <v>0</v>
      </c>
      <c r="AH205" s="27">
        <f t="shared" si="206"/>
        <v>0</v>
      </c>
      <c r="AI205" s="27">
        <f t="shared" si="207"/>
        <v>0</v>
      </c>
      <c r="AJ205" s="27">
        <f t="shared" si="208"/>
        <v>0</v>
      </c>
      <c r="AK205" s="27">
        <f t="shared" si="209"/>
        <v>0</v>
      </c>
    </row>
    <row r="206" spans="1:37" ht="20.100000000000001" customHeight="1">
      <c r="A206" s="103" t="s">
        <v>538</v>
      </c>
      <c r="B206" s="103" t="str">
        <f>"노무비의 "&amp;N206*100&amp;"%"</f>
        <v>노무비의 3%</v>
      </c>
      <c r="C206" s="109" t="s">
        <v>459</v>
      </c>
      <c r="D206" s="110" t="s">
        <v>460</v>
      </c>
      <c r="E206" s="106"/>
      <c r="F206" s="106">
        <f>ROUNDDOWN(E206*N206,0)</f>
        <v>0</v>
      </c>
      <c r="G206" s="106"/>
      <c r="H206" s="106"/>
      <c r="I206" s="106"/>
      <c r="J206" s="106"/>
      <c r="K206" s="106">
        <f t="shared" si="189"/>
        <v>0</v>
      </c>
      <c r="L206" s="106">
        <f t="shared" si="189"/>
        <v>0</v>
      </c>
      <c r="M206" s="130"/>
      <c r="N206" s="32">
        <v>0.03</v>
      </c>
      <c r="P206" s="31" t="s">
        <v>452</v>
      </c>
      <c r="Q206" s="27">
        <v>1</v>
      </c>
      <c r="R206" s="27">
        <f t="shared" si="190"/>
        <v>0</v>
      </c>
      <c r="S206" s="27">
        <f t="shared" si="191"/>
        <v>0</v>
      </c>
      <c r="T206" s="27">
        <f t="shared" si="192"/>
        <v>0</v>
      </c>
      <c r="U206" s="27">
        <f t="shared" si="193"/>
        <v>0</v>
      </c>
      <c r="V206" s="27">
        <f t="shared" si="194"/>
        <v>0</v>
      </c>
      <c r="W206" s="27">
        <f t="shared" si="195"/>
        <v>0</v>
      </c>
      <c r="X206" s="27">
        <f t="shared" si="196"/>
        <v>0</v>
      </c>
      <c r="Y206" s="27">
        <f t="shared" si="197"/>
        <v>0</v>
      </c>
      <c r="Z206" s="27">
        <f t="shared" si="198"/>
        <v>0</v>
      </c>
      <c r="AA206" s="27">
        <f t="shared" si="199"/>
        <v>0</v>
      </c>
      <c r="AB206" s="27">
        <f t="shared" si="200"/>
        <v>0</v>
      </c>
      <c r="AC206" s="27">
        <f t="shared" si="201"/>
        <v>0</v>
      </c>
      <c r="AD206" s="27">
        <f t="shared" si="202"/>
        <v>0</v>
      </c>
      <c r="AE206" s="27">
        <f t="shared" si="203"/>
        <v>0</v>
      </c>
      <c r="AF206" s="27">
        <f t="shared" si="204"/>
        <v>0</v>
      </c>
      <c r="AG206" s="27">
        <f t="shared" si="205"/>
        <v>0</v>
      </c>
      <c r="AH206" s="27">
        <f t="shared" si="206"/>
        <v>0</v>
      </c>
      <c r="AI206" s="27">
        <f t="shared" si="207"/>
        <v>0</v>
      </c>
      <c r="AJ206" s="27">
        <f t="shared" si="208"/>
        <v>0</v>
      </c>
      <c r="AK206" s="27">
        <f t="shared" si="209"/>
        <v>0</v>
      </c>
    </row>
    <row r="207" spans="1:37" ht="20.100000000000001" customHeight="1">
      <c r="A207" s="103"/>
      <c r="B207" s="103"/>
      <c r="C207" s="104"/>
      <c r="D207" s="107"/>
      <c r="E207" s="107"/>
      <c r="F207" s="107"/>
      <c r="G207" s="107"/>
      <c r="H207" s="107"/>
      <c r="I207" s="107"/>
      <c r="J207" s="107"/>
      <c r="K207" s="107"/>
      <c r="L207" s="107"/>
      <c r="M207" s="130"/>
    </row>
    <row r="208" spans="1:37" ht="20.100000000000001" customHeight="1">
      <c r="A208" s="103"/>
      <c r="B208" s="103"/>
      <c r="C208" s="104"/>
      <c r="D208" s="107"/>
      <c r="E208" s="107"/>
      <c r="F208" s="107"/>
      <c r="G208" s="107"/>
      <c r="H208" s="107"/>
      <c r="I208" s="107"/>
      <c r="J208" s="107"/>
      <c r="K208" s="107"/>
      <c r="L208" s="107"/>
      <c r="M208" s="130"/>
    </row>
    <row r="209" spans="1:13" ht="20.100000000000001" customHeight="1">
      <c r="A209" s="103"/>
      <c r="B209" s="103"/>
      <c r="C209" s="104"/>
      <c r="D209" s="107"/>
      <c r="E209" s="107"/>
      <c r="F209" s="107"/>
      <c r="G209" s="107"/>
      <c r="H209" s="107"/>
      <c r="I209" s="107"/>
      <c r="J209" s="107"/>
      <c r="K209" s="107"/>
      <c r="L209" s="107"/>
      <c r="M209" s="130"/>
    </row>
    <row r="210" spans="1:13" ht="20.100000000000001" customHeight="1">
      <c r="A210" s="103"/>
      <c r="B210" s="103"/>
      <c r="C210" s="104"/>
      <c r="D210" s="107"/>
      <c r="E210" s="107"/>
      <c r="F210" s="107"/>
      <c r="G210" s="107"/>
      <c r="H210" s="107"/>
      <c r="I210" s="107"/>
      <c r="J210" s="107"/>
      <c r="K210" s="107"/>
      <c r="L210" s="107"/>
      <c r="M210" s="130"/>
    </row>
    <row r="211" spans="1:13" ht="20.100000000000001" customHeight="1">
      <c r="A211" s="103"/>
      <c r="B211" s="103"/>
      <c r="C211" s="104"/>
      <c r="D211" s="107"/>
      <c r="E211" s="107"/>
      <c r="F211" s="107"/>
      <c r="G211" s="107"/>
      <c r="H211" s="107"/>
      <c r="I211" s="107"/>
      <c r="J211" s="107"/>
      <c r="K211" s="107"/>
      <c r="L211" s="107"/>
      <c r="M211" s="130"/>
    </row>
    <row r="212" spans="1:13" ht="20.100000000000001" customHeight="1">
      <c r="A212" s="103"/>
      <c r="B212" s="103"/>
      <c r="C212" s="104"/>
      <c r="D212" s="107"/>
      <c r="E212" s="107"/>
      <c r="F212" s="107"/>
      <c r="G212" s="107"/>
      <c r="H212" s="107"/>
      <c r="I212" s="107"/>
      <c r="J212" s="107"/>
      <c r="K212" s="107"/>
      <c r="L212" s="107"/>
      <c r="M212" s="130"/>
    </row>
    <row r="213" spans="1:13" ht="20.100000000000001" customHeight="1">
      <c r="A213" s="103"/>
      <c r="B213" s="103"/>
      <c r="C213" s="104"/>
      <c r="D213" s="107"/>
      <c r="E213" s="107"/>
      <c r="F213" s="107"/>
      <c r="G213" s="107"/>
      <c r="H213" s="107"/>
      <c r="I213" s="107"/>
      <c r="J213" s="107"/>
      <c r="K213" s="107"/>
      <c r="L213" s="107"/>
      <c r="M213" s="130"/>
    </row>
    <row r="214" spans="1:13" ht="20.100000000000001" customHeight="1">
      <c r="A214" s="103"/>
      <c r="B214" s="103"/>
      <c r="C214" s="104"/>
      <c r="D214" s="107"/>
      <c r="E214" s="107"/>
      <c r="F214" s="107"/>
      <c r="G214" s="107"/>
      <c r="H214" s="107"/>
      <c r="I214" s="107"/>
      <c r="J214" s="107"/>
      <c r="K214" s="107"/>
      <c r="L214" s="107"/>
      <c r="M214" s="130"/>
    </row>
    <row r="215" spans="1:13" ht="20.100000000000001" customHeight="1">
      <c r="A215" s="103"/>
      <c r="B215" s="103"/>
      <c r="C215" s="104"/>
      <c r="D215" s="107"/>
      <c r="E215" s="107"/>
      <c r="F215" s="107"/>
      <c r="G215" s="107"/>
      <c r="H215" s="107"/>
      <c r="I215" s="107"/>
      <c r="J215" s="107"/>
      <c r="K215" s="107"/>
      <c r="L215" s="107"/>
      <c r="M215" s="130"/>
    </row>
    <row r="216" spans="1:13" ht="20.100000000000001" customHeight="1">
      <c r="A216" s="103"/>
      <c r="B216" s="103"/>
      <c r="C216" s="104"/>
      <c r="D216" s="107"/>
      <c r="E216" s="107"/>
      <c r="F216" s="107"/>
      <c r="G216" s="107"/>
      <c r="H216" s="107"/>
      <c r="I216" s="107"/>
      <c r="J216" s="107"/>
      <c r="K216" s="107"/>
      <c r="L216" s="107"/>
      <c r="M216" s="130"/>
    </row>
    <row r="217" spans="1:13" ht="20.100000000000001" customHeight="1">
      <c r="A217" s="103"/>
      <c r="B217" s="103"/>
      <c r="C217" s="104"/>
      <c r="D217" s="107"/>
      <c r="E217" s="107"/>
      <c r="F217" s="107"/>
      <c r="G217" s="107"/>
      <c r="H217" s="107"/>
      <c r="I217" s="107"/>
      <c r="J217" s="107"/>
      <c r="K217" s="107"/>
      <c r="L217" s="107"/>
      <c r="M217" s="130"/>
    </row>
    <row r="218" spans="1:13" ht="20.100000000000001" customHeight="1">
      <c r="A218" s="103"/>
      <c r="B218" s="103"/>
      <c r="C218" s="104"/>
      <c r="D218" s="107"/>
      <c r="E218" s="107"/>
      <c r="F218" s="107"/>
      <c r="G218" s="107"/>
      <c r="H218" s="107"/>
      <c r="I218" s="107"/>
      <c r="J218" s="107"/>
      <c r="K218" s="107"/>
      <c r="L218" s="107"/>
      <c r="M218" s="130"/>
    </row>
    <row r="219" spans="1:13" ht="20.100000000000001" customHeight="1">
      <c r="A219" s="103"/>
      <c r="B219" s="103"/>
      <c r="C219" s="104"/>
      <c r="D219" s="107"/>
      <c r="E219" s="107"/>
      <c r="F219" s="107"/>
      <c r="G219" s="107"/>
      <c r="H219" s="107"/>
      <c r="I219" s="107"/>
      <c r="J219" s="107"/>
      <c r="K219" s="107"/>
      <c r="L219" s="107"/>
      <c r="M219" s="130"/>
    </row>
    <row r="220" spans="1:13" ht="20.100000000000001" customHeight="1">
      <c r="A220" s="103"/>
      <c r="B220" s="103"/>
      <c r="C220" s="104"/>
      <c r="D220" s="107"/>
      <c r="E220" s="107"/>
      <c r="F220" s="107"/>
      <c r="G220" s="107"/>
      <c r="H220" s="107"/>
      <c r="I220" s="107"/>
      <c r="J220" s="107"/>
      <c r="K220" s="107"/>
      <c r="L220" s="107"/>
      <c r="M220" s="130"/>
    </row>
    <row r="221" spans="1:13" ht="20.100000000000001" customHeight="1">
      <c r="A221" s="103"/>
      <c r="B221" s="103"/>
      <c r="C221" s="104"/>
      <c r="D221" s="107"/>
      <c r="E221" s="107"/>
      <c r="F221" s="107"/>
      <c r="G221" s="107"/>
      <c r="H221" s="107"/>
      <c r="I221" s="107"/>
      <c r="J221" s="107"/>
      <c r="K221" s="107"/>
      <c r="L221" s="107"/>
      <c r="M221" s="130"/>
    </row>
    <row r="222" spans="1:13" ht="20.100000000000001" customHeight="1">
      <c r="A222" s="103"/>
      <c r="B222" s="103"/>
      <c r="C222" s="104"/>
      <c r="D222" s="107"/>
      <c r="E222" s="107"/>
      <c r="F222" s="107"/>
      <c r="G222" s="107"/>
      <c r="H222" s="107"/>
      <c r="I222" s="107"/>
      <c r="J222" s="107"/>
      <c r="K222" s="107"/>
      <c r="L222" s="107"/>
      <c r="M222" s="130"/>
    </row>
    <row r="223" spans="1:13" ht="20.100000000000001" customHeight="1">
      <c r="A223" s="103"/>
      <c r="B223" s="103"/>
      <c r="C223" s="104"/>
      <c r="D223" s="107"/>
      <c r="E223" s="107"/>
      <c r="F223" s="107"/>
      <c r="G223" s="107"/>
      <c r="H223" s="107"/>
      <c r="I223" s="107"/>
      <c r="J223" s="107"/>
      <c r="K223" s="107"/>
      <c r="L223" s="107"/>
      <c r="M223" s="130"/>
    </row>
    <row r="224" spans="1:13" ht="20.100000000000001" customHeight="1">
      <c r="A224" s="103"/>
      <c r="B224" s="103"/>
      <c r="C224" s="104"/>
      <c r="D224" s="107"/>
      <c r="E224" s="107"/>
      <c r="F224" s="107"/>
      <c r="G224" s="107"/>
      <c r="H224" s="107"/>
      <c r="I224" s="107"/>
      <c r="J224" s="107"/>
      <c r="K224" s="107"/>
      <c r="L224" s="107"/>
      <c r="M224" s="130"/>
    </row>
    <row r="225" spans="1:38" ht="20.100000000000001" customHeight="1">
      <c r="A225" s="136" t="s">
        <v>930</v>
      </c>
      <c r="B225" s="119"/>
      <c r="C225" s="120"/>
      <c r="D225" s="121"/>
      <c r="E225" s="122"/>
      <c r="F225" s="122">
        <f>SUMIF($Q$186:$Q$224, 1,$F$186:$F$224)</f>
        <v>0</v>
      </c>
      <c r="G225" s="122"/>
      <c r="H225" s="122">
        <f>SUMIF($Q$186:$Q$224, 1,$H$186:$H$224)</f>
        <v>0</v>
      </c>
      <c r="I225" s="122"/>
      <c r="J225" s="122">
        <f>SUMIF($Q$186:$Q$224, 1,$J$186:$J$224)</f>
        <v>0</v>
      </c>
      <c r="K225" s="122"/>
      <c r="L225" s="122">
        <f>F225+H225+J225</f>
        <v>0</v>
      </c>
      <c r="M225" s="137"/>
      <c r="R225" s="27">
        <f>SUM($R$186:$R$224)</f>
        <v>0</v>
      </c>
      <c r="S225" s="27">
        <f>SUM($S$186:$S$224)</f>
        <v>0</v>
      </c>
      <c r="T225" s="27">
        <f>SUM($T$186:$T$224)</f>
        <v>0</v>
      </c>
      <c r="U225" s="27">
        <f>SUM($U$186:$U$224)</f>
        <v>0</v>
      </c>
      <c r="V225" s="27">
        <f>SUM($V$186:$V$224)</f>
        <v>0</v>
      </c>
      <c r="W225" s="27">
        <f>SUM($W$186:$W$224)</f>
        <v>0</v>
      </c>
      <c r="X225" s="27">
        <f>SUM($X$186:$X$224)</f>
        <v>0</v>
      </c>
      <c r="Y225" s="27">
        <f>SUM($Y$186:$Y$224)</f>
        <v>0</v>
      </c>
      <c r="Z225" s="27">
        <f>SUM($Z$186:$Z$224)</f>
        <v>0</v>
      </c>
      <c r="AA225" s="27">
        <f>SUM($AA$186:$AA$224)</f>
        <v>0</v>
      </c>
      <c r="AB225" s="27">
        <f>SUM($AB$186:$AB$224)</f>
        <v>0</v>
      </c>
      <c r="AC225" s="27">
        <f>SUM($AC$186:$AC$224)</f>
        <v>0</v>
      </c>
      <c r="AD225" s="27">
        <f>SUM($AD$186:$AD$224)</f>
        <v>0</v>
      </c>
      <c r="AE225" s="27">
        <f>SUM($AE$186:$AE$224)</f>
        <v>0</v>
      </c>
      <c r="AF225" s="27">
        <f>SUM($AF$186:$AF$224)</f>
        <v>0</v>
      </c>
      <c r="AG225" s="27">
        <f>SUM($AG$186:$AG$224)</f>
        <v>0</v>
      </c>
      <c r="AH225" s="27">
        <f>SUM($AH$186:$AH$224)</f>
        <v>0</v>
      </c>
      <c r="AI225" s="27">
        <f>SUM($AI$186:$AI$224)</f>
        <v>0</v>
      </c>
      <c r="AJ225" s="27">
        <f>SUM($AJ$186:$AJ$224)</f>
        <v>0</v>
      </c>
      <c r="AK225" s="27">
        <f>SUM($AK$186:$AK$224)</f>
        <v>0</v>
      </c>
      <c r="AL225" s="27">
        <f>SUM($AL$186:$AL$224)</f>
        <v>0</v>
      </c>
    </row>
    <row r="226" spans="1:38" ht="20.100000000000001" customHeight="1">
      <c r="A226" s="64" t="s">
        <v>420</v>
      </c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134"/>
    </row>
    <row r="227" spans="1:38" ht="20.100000000000001" customHeight="1">
      <c r="A227" s="103" t="s">
        <v>965</v>
      </c>
      <c r="B227" s="103" t="s">
        <v>248</v>
      </c>
      <c r="C227" s="104" t="s">
        <v>34</v>
      </c>
      <c r="D227" s="105">
        <f>[1]공량산출서!F44</f>
        <v>122</v>
      </c>
      <c r="E227" s="106"/>
      <c r="F227" s="106">
        <f>ROUNDDOWN(D227*E227,0)</f>
        <v>0</v>
      </c>
      <c r="G227" s="106"/>
      <c r="H227" s="106">
        <f>ROUNDDOWN(D227*G227,0)</f>
        <v>0</v>
      </c>
      <c r="I227" s="106"/>
      <c r="J227" s="106">
        <f>ROUNDDOWN(D227*I227,0)</f>
        <v>0</v>
      </c>
      <c r="K227" s="106">
        <f t="shared" ref="K227:L242" si="213">E227+G227+I227</f>
        <v>0</v>
      </c>
      <c r="L227" s="106">
        <f t="shared" si="213"/>
        <v>0</v>
      </c>
      <c r="M227" s="130"/>
      <c r="O227" s="31" t="s">
        <v>580</v>
      </c>
      <c r="P227" s="31" t="s">
        <v>452</v>
      </c>
      <c r="Q227" s="27">
        <v>1</v>
      </c>
      <c r="R227" s="27">
        <f t="shared" ref="R227:R242" si="214">IF(P227="기계경비",J227,0)</f>
        <v>0</v>
      </c>
      <c r="S227" s="27">
        <f t="shared" ref="S227:S242" si="215">IF(P227="운반비",J227,0)</f>
        <v>0</v>
      </c>
      <c r="T227" s="27">
        <f t="shared" ref="T227:T242" si="216">IF(P227="작업부산물",F227,0)</f>
        <v>0</v>
      </c>
      <c r="U227" s="27">
        <f t="shared" ref="U227:U242" si="217">IF(P227="관급",ROUNDDOWN(D227*E227,0),0)+IF(P227="지급",ROUNDDOWN(D227*E227,0),0)</f>
        <v>0</v>
      </c>
      <c r="V227" s="27">
        <f t="shared" ref="V227:V242" si="218">IF(P227="외주비",F227+H227+J227,0)</f>
        <v>0</v>
      </c>
      <c r="W227" s="27">
        <f t="shared" ref="W227:W242" si="219">IF(P227="장비비",F227+H227+J227,0)</f>
        <v>0</v>
      </c>
      <c r="X227" s="27">
        <f t="shared" ref="X227:X242" si="220">IF(P227="폐기물처리비",J227,0)</f>
        <v>0</v>
      </c>
      <c r="Y227" s="27">
        <f t="shared" ref="Y227:Y242" si="221">IF(P227="가설비",J227,0)</f>
        <v>0</v>
      </c>
      <c r="Z227" s="27">
        <f t="shared" ref="Z227:Z242" si="222">IF(P227="잡비제외분",F227,0)</f>
        <v>0</v>
      </c>
      <c r="AA227" s="27">
        <f t="shared" ref="AA227:AA242" si="223">IF(P227="사급자재대",L227,0)</f>
        <v>0</v>
      </c>
      <c r="AB227" s="27">
        <f t="shared" ref="AB227:AB242" si="224">IF(P227="관급자재대",L227,0)</f>
        <v>0</v>
      </c>
      <c r="AC227" s="27">
        <f t="shared" ref="AC227:AC242" si="225">IF(P227="사용자항목1",L227,0)</f>
        <v>0</v>
      </c>
      <c r="AD227" s="27">
        <f t="shared" ref="AD227:AD242" si="226">IF(P227="사용자항목2",L227,0)</f>
        <v>0</v>
      </c>
      <c r="AE227" s="27">
        <f t="shared" ref="AE227:AE242" si="227">IF(P227="사용자항목3",L227,0)</f>
        <v>0</v>
      </c>
      <c r="AF227" s="27">
        <f t="shared" ref="AF227:AF242" si="228">IF(P227="사용자항목4",L227,0)</f>
        <v>0</v>
      </c>
      <c r="AG227" s="27">
        <f t="shared" ref="AG227:AG242" si="229">IF(P227="사용자항목5",L227,0)</f>
        <v>0</v>
      </c>
      <c r="AH227" s="27">
        <f t="shared" ref="AH227:AH242" si="230">IF(P227="사용자항목6",L227,0)</f>
        <v>0</v>
      </c>
      <c r="AI227" s="27">
        <f t="shared" ref="AI227:AI242" si="231">IF(P227="사용자항목7",L227,0)</f>
        <v>0</v>
      </c>
      <c r="AJ227" s="27">
        <f t="shared" ref="AJ227:AJ242" si="232">IF(P227="사용자항목8",L227,0)</f>
        <v>0</v>
      </c>
      <c r="AK227" s="27">
        <f t="shared" ref="AK227:AK242" si="233">IF(P227="사용자항목9",L227,0)</f>
        <v>0</v>
      </c>
    </row>
    <row r="228" spans="1:38" ht="20.100000000000001" customHeight="1">
      <c r="A228" s="103" t="s">
        <v>847</v>
      </c>
      <c r="B228" s="103" t="str">
        <f>"관의 "&amp;N228*100&amp;"%"</f>
        <v>관의 2%</v>
      </c>
      <c r="C228" s="109" t="s">
        <v>459</v>
      </c>
      <c r="D228" s="110" t="s">
        <v>460</v>
      </c>
      <c r="E228" s="106"/>
      <c r="F228" s="106">
        <f>ROUNDDOWN(E228*N228,0)</f>
        <v>0</v>
      </c>
      <c r="G228" s="106"/>
      <c r="H228" s="106"/>
      <c r="I228" s="106"/>
      <c r="J228" s="106"/>
      <c r="K228" s="106">
        <f t="shared" si="213"/>
        <v>0</v>
      </c>
      <c r="L228" s="106">
        <f t="shared" si="213"/>
        <v>0</v>
      </c>
      <c r="M228" s="130"/>
      <c r="N228" s="32">
        <v>0.02</v>
      </c>
      <c r="P228" s="31" t="s">
        <v>452</v>
      </c>
      <c r="Q228" s="27">
        <v>1</v>
      </c>
      <c r="R228" s="27">
        <f t="shared" si="214"/>
        <v>0</v>
      </c>
      <c r="S228" s="27">
        <f t="shared" si="215"/>
        <v>0</v>
      </c>
      <c r="T228" s="27">
        <f t="shared" si="216"/>
        <v>0</v>
      </c>
      <c r="U228" s="27">
        <f t="shared" si="217"/>
        <v>0</v>
      </c>
      <c r="V228" s="27">
        <f t="shared" si="218"/>
        <v>0</v>
      </c>
      <c r="W228" s="27">
        <f t="shared" si="219"/>
        <v>0</v>
      </c>
      <c r="X228" s="27">
        <f t="shared" si="220"/>
        <v>0</v>
      </c>
      <c r="Y228" s="27">
        <f t="shared" si="221"/>
        <v>0</v>
      </c>
      <c r="Z228" s="27">
        <f t="shared" si="222"/>
        <v>0</v>
      </c>
      <c r="AA228" s="27">
        <f t="shared" si="223"/>
        <v>0</v>
      </c>
      <c r="AB228" s="27">
        <f t="shared" si="224"/>
        <v>0</v>
      </c>
      <c r="AC228" s="27">
        <f t="shared" si="225"/>
        <v>0</v>
      </c>
      <c r="AD228" s="27">
        <f t="shared" si="226"/>
        <v>0</v>
      </c>
      <c r="AE228" s="27">
        <f t="shared" si="227"/>
        <v>0</v>
      </c>
      <c r="AF228" s="27">
        <f t="shared" si="228"/>
        <v>0</v>
      </c>
      <c r="AG228" s="27">
        <f t="shared" si="229"/>
        <v>0</v>
      </c>
      <c r="AH228" s="27">
        <f t="shared" si="230"/>
        <v>0</v>
      </c>
      <c r="AI228" s="27">
        <f t="shared" si="231"/>
        <v>0</v>
      </c>
      <c r="AJ228" s="27">
        <f t="shared" si="232"/>
        <v>0</v>
      </c>
      <c r="AK228" s="27">
        <f t="shared" si="233"/>
        <v>0</v>
      </c>
    </row>
    <row r="229" spans="1:38" ht="20.100000000000001" customHeight="1">
      <c r="A229" s="103" t="s">
        <v>966</v>
      </c>
      <c r="B229" s="103" t="s">
        <v>248</v>
      </c>
      <c r="C229" s="104" t="s">
        <v>17</v>
      </c>
      <c r="D229" s="105">
        <v>32</v>
      </c>
      <c r="E229" s="106"/>
      <c r="F229" s="106">
        <f t="shared" ref="F229:F235" si="234">ROUNDDOWN(D229*E229,0)</f>
        <v>0</v>
      </c>
      <c r="G229" s="106"/>
      <c r="H229" s="106">
        <f t="shared" ref="H229:H235" si="235">ROUNDDOWN(D229*G229,0)</f>
        <v>0</v>
      </c>
      <c r="I229" s="106"/>
      <c r="J229" s="106">
        <f t="shared" ref="J229:J235" si="236">ROUNDDOWN(D229*I229,0)</f>
        <v>0</v>
      </c>
      <c r="K229" s="106">
        <f t="shared" si="213"/>
        <v>0</v>
      </c>
      <c r="L229" s="106">
        <f t="shared" si="213"/>
        <v>0</v>
      </c>
      <c r="M229" s="130"/>
      <c r="O229" s="31" t="s">
        <v>457</v>
      </c>
      <c r="P229" s="31" t="s">
        <v>452</v>
      </c>
      <c r="Q229" s="27">
        <v>1</v>
      </c>
      <c r="R229" s="27">
        <f t="shared" si="214"/>
        <v>0</v>
      </c>
      <c r="S229" s="27">
        <f t="shared" si="215"/>
        <v>0</v>
      </c>
      <c r="T229" s="27">
        <f t="shared" si="216"/>
        <v>0</v>
      </c>
      <c r="U229" s="27">
        <f t="shared" si="217"/>
        <v>0</v>
      </c>
      <c r="V229" s="27">
        <f t="shared" si="218"/>
        <v>0</v>
      </c>
      <c r="W229" s="27">
        <f t="shared" si="219"/>
        <v>0</v>
      </c>
      <c r="X229" s="27">
        <f t="shared" si="220"/>
        <v>0</v>
      </c>
      <c r="Y229" s="27">
        <f t="shared" si="221"/>
        <v>0</v>
      </c>
      <c r="Z229" s="27">
        <f t="shared" si="222"/>
        <v>0</v>
      </c>
      <c r="AA229" s="27">
        <f t="shared" si="223"/>
        <v>0</v>
      </c>
      <c r="AB229" s="27">
        <f t="shared" si="224"/>
        <v>0</v>
      </c>
      <c r="AC229" s="27">
        <f t="shared" si="225"/>
        <v>0</v>
      </c>
      <c r="AD229" s="27">
        <f t="shared" si="226"/>
        <v>0</v>
      </c>
      <c r="AE229" s="27">
        <f t="shared" si="227"/>
        <v>0</v>
      </c>
      <c r="AF229" s="27">
        <f t="shared" si="228"/>
        <v>0</v>
      </c>
      <c r="AG229" s="27">
        <f t="shared" si="229"/>
        <v>0</v>
      </c>
      <c r="AH229" s="27">
        <f t="shared" si="230"/>
        <v>0</v>
      </c>
      <c r="AI229" s="27">
        <f t="shared" si="231"/>
        <v>0</v>
      </c>
      <c r="AJ229" s="27">
        <f t="shared" si="232"/>
        <v>0</v>
      </c>
      <c r="AK229" s="27">
        <f t="shared" si="233"/>
        <v>0</v>
      </c>
    </row>
    <row r="230" spans="1:38" ht="20.100000000000001" customHeight="1">
      <c r="A230" s="103" t="s">
        <v>967</v>
      </c>
      <c r="B230" s="103" t="s">
        <v>139</v>
      </c>
      <c r="C230" s="104" t="s">
        <v>17</v>
      </c>
      <c r="D230" s="105">
        <v>24</v>
      </c>
      <c r="E230" s="106"/>
      <c r="F230" s="106">
        <f t="shared" si="234"/>
        <v>0</v>
      </c>
      <c r="G230" s="106"/>
      <c r="H230" s="106">
        <f t="shared" si="235"/>
        <v>0</v>
      </c>
      <c r="I230" s="106"/>
      <c r="J230" s="106">
        <f t="shared" si="236"/>
        <v>0</v>
      </c>
      <c r="K230" s="106">
        <f t="shared" si="213"/>
        <v>0</v>
      </c>
      <c r="L230" s="106">
        <f t="shared" si="213"/>
        <v>0</v>
      </c>
      <c r="M230" s="130"/>
      <c r="O230" s="31" t="s">
        <v>457</v>
      </c>
      <c r="P230" s="31" t="s">
        <v>452</v>
      </c>
      <c r="Q230" s="27">
        <v>1</v>
      </c>
      <c r="R230" s="27">
        <f t="shared" si="214"/>
        <v>0</v>
      </c>
      <c r="S230" s="27">
        <f t="shared" si="215"/>
        <v>0</v>
      </c>
      <c r="T230" s="27">
        <f t="shared" si="216"/>
        <v>0</v>
      </c>
      <c r="U230" s="27">
        <f t="shared" si="217"/>
        <v>0</v>
      </c>
      <c r="V230" s="27">
        <f t="shared" si="218"/>
        <v>0</v>
      </c>
      <c r="W230" s="27">
        <f t="shared" si="219"/>
        <v>0</v>
      </c>
      <c r="X230" s="27">
        <f t="shared" si="220"/>
        <v>0</v>
      </c>
      <c r="Y230" s="27">
        <f t="shared" si="221"/>
        <v>0</v>
      </c>
      <c r="Z230" s="27">
        <f t="shared" si="222"/>
        <v>0</v>
      </c>
      <c r="AA230" s="27">
        <f t="shared" si="223"/>
        <v>0</v>
      </c>
      <c r="AB230" s="27">
        <f t="shared" si="224"/>
        <v>0</v>
      </c>
      <c r="AC230" s="27">
        <f t="shared" si="225"/>
        <v>0</v>
      </c>
      <c r="AD230" s="27">
        <f t="shared" si="226"/>
        <v>0</v>
      </c>
      <c r="AE230" s="27">
        <f t="shared" si="227"/>
        <v>0</v>
      </c>
      <c r="AF230" s="27">
        <f t="shared" si="228"/>
        <v>0</v>
      </c>
      <c r="AG230" s="27">
        <f t="shared" si="229"/>
        <v>0</v>
      </c>
      <c r="AH230" s="27">
        <f t="shared" si="230"/>
        <v>0</v>
      </c>
      <c r="AI230" s="27">
        <f t="shared" si="231"/>
        <v>0</v>
      </c>
      <c r="AJ230" s="27">
        <f t="shared" si="232"/>
        <v>0</v>
      </c>
      <c r="AK230" s="27">
        <f t="shared" si="233"/>
        <v>0</v>
      </c>
    </row>
    <row r="231" spans="1:38" ht="20.100000000000001" customHeight="1">
      <c r="A231" s="103" t="s">
        <v>968</v>
      </c>
      <c r="B231" s="103" t="s">
        <v>248</v>
      </c>
      <c r="C231" s="104" t="s">
        <v>17</v>
      </c>
      <c r="D231" s="105">
        <v>36</v>
      </c>
      <c r="E231" s="106"/>
      <c r="F231" s="106">
        <f t="shared" si="234"/>
        <v>0</v>
      </c>
      <c r="G231" s="106"/>
      <c r="H231" s="106">
        <f t="shared" si="235"/>
        <v>0</v>
      </c>
      <c r="I231" s="106"/>
      <c r="J231" s="106">
        <f t="shared" si="236"/>
        <v>0</v>
      </c>
      <c r="K231" s="106">
        <f t="shared" si="213"/>
        <v>0</v>
      </c>
      <c r="L231" s="106">
        <f t="shared" si="213"/>
        <v>0</v>
      </c>
      <c r="M231" s="130"/>
      <c r="O231" s="31" t="s">
        <v>457</v>
      </c>
      <c r="P231" s="31" t="s">
        <v>452</v>
      </c>
      <c r="Q231" s="27">
        <v>1</v>
      </c>
      <c r="R231" s="27">
        <f t="shared" si="214"/>
        <v>0</v>
      </c>
      <c r="S231" s="27">
        <f t="shared" si="215"/>
        <v>0</v>
      </c>
      <c r="T231" s="27">
        <f t="shared" si="216"/>
        <v>0</v>
      </c>
      <c r="U231" s="27">
        <f t="shared" si="217"/>
        <v>0</v>
      </c>
      <c r="V231" s="27">
        <f t="shared" si="218"/>
        <v>0</v>
      </c>
      <c r="W231" s="27">
        <f t="shared" si="219"/>
        <v>0</v>
      </c>
      <c r="X231" s="27">
        <f t="shared" si="220"/>
        <v>0</v>
      </c>
      <c r="Y231" s="27">
        <f t="shared" si="221"/>
        <v>0</v>
      </c>
      <c r="Z231" s="27">
        <f t="shared" si="222"/>
        <v>0</v>
      </c>
      <c r="AA231" s="27">
        <f t="shared" si="223"/>
        <v>0</v>
      </c>
      <c r="AB231" s="27">
        <f t="shared" si="224"/>
        <v>0</v>
      </c>
      <c r="AC231" s="27">
        <f t="shared" si="225"/>
        <v>0</v>
      </c>
      <c r="AD231" s="27">
        <f t="shared" si="226"/>
        <v>0</v>
      </c>
      <c r="AE231" s="27">
        <f t="shared" si="227"/>
        <v>0</v>
      </c>
      <c r="AF231" s="27">
        <f t="shared" si="228"/>
        <v>0</v>
      </c>
      <c r="AG231" s="27">
        <f t="shared" si="229"/>
        <v>0</v>
      </c>
      <c r="AH231" s="27">
        <f t="shared" si="230"/>
        <v>0</v>
      </c>
      <c r="AI231" s="27">
        <f t="shared" si="231"/>
        <v>0</v>
      </c>
      <c r="AJ231" s="27">
        <f t="shared" si="232"/>
        <v>0</v>
      </c>
      <c r="AK231" s="27">
        <f t="shared" si="233"/>
        <v>0</v>
      </c>
    </row>
    <row r="232" spans="1:38" ht="20.100000000000001" customHeight="1">
      <c r="A232" s="103" t="s">
        <v>247</v>
      </c>
      <c r="B232" s="103" t="s">
        <v>248</v>
      </c>
      <c r="C232" s="104" t="s">
        <v>17</v>
      </c>
      <c r="D232" s="105">
        <f>[1]공량산출서!F46</f>
        <v>10</v>
      </c>
      <c r="E232" s="106"/>
      <c r="F232" s="106">
        <f t="shared" si="234"/>
        <v>0</v>
      </c>
      <c r="G232" s="106"/>
      <c r="H232" s="106">
        <f t="shared" si="235"/>
        <v>0</v>
      </c>
      <c r="I232" s="106"/>
      <c r="J232" s="106">
        <f t="shared" si="236"/>
        <v>0</v>
      </c>
      <c r="K232" s="106">
        <f t="shared" si="213"/>
        <v>0</v>
      </c>
      <c r="L232" s="106">
        <f t="shared" si="213"/>
        <v>0</v>
      </c>
      <c r="M232" s="130"/>
      <c r="O232" s="31" t="s">
        <v>457</v>
      </c>
      <c r="P232" s="31" t="s">
        <v>452</v>
      </c>
      <c r="Q232" s="27">
        <v>1</v>
      </c>
      <c r="R232" s="27">
        <f t="shared" si="214"/>
        <v>0</v>
      </c>
      <c r="S232" s="27">
        <f t="shared" si="215"/>
        <v>0</v>
      </c>
      <c r="T232" s="27">
        <f t="shared" si="216"/>
        <v>0</v>
      </c>
      <c r="U232" s="27">
        <f t="shared" si="217"/>
        <v>0</v>
      </c>
      <c r="V232" s="27">
        <f t="shared" si="218"/>
        <v>0</v>
      </c>
      <c r="W232" s="27">
        <f t="shared" si="219"/>
        <v>0</v>
      </c>
      <c r="X232" s="27">
        <f t="shared" si="220"/>
        <v>0</v>
      </c>
      <c r="Y232" s="27">
        <f t="shared" si="221"/>
        <v>0</v>
      </c>
      <c r="Z232" s="27">
        <f t="shared" si="222"/>
        <v>0</v>
      </c>
      <c r="AA232" s="27">
        <f t="shared" si="223"/>
        <v>0</v>
      </c>
      <c r="AB232" s="27">
        <f t="shared" si="224"/>
        <v>0</v>
      </c>
      <c r="AC232" s="27">
        <f t="shared" si="225"/>
        <v>0</v>
      </c>
      <c r="AD232" s="27">
        <f t="shared" si="226"/>
        <v>0</v>
      </c>
      <c r="AE232" s="27">
        <f t="shared" si="227"/>
        <v>0</v>
      </c>
      <c r="AF232" s="27">
        <f t="shared" si="228"/>
        <v>0</v>
      </c>
      <c r="AG232" s="27">
        <f t="shared" si="229"/>
        <v>0</v>
      </c>
      <c r="AH232" s="27">
        <f t="shared" si="230"/>
        <v>0</v>
      </c>
      <c r="AI232" s="27">
        <f t="shared" si="231"/>
        <v>0</v>
      </c>
      <c r="AJ232" s="27">
        <f t="shared" si="232"/>
        <v>0</v>
      </c>
      <c r="AK232" s="27">
        <f t="shared" si="233"/>
        <v>0</v>
      </c>
    </row>
    <row r="233" spans="1:38" ht="20.100000000000001" customHeight="1">
      <c r="A233" s="103" t="s">
        <v>138</v>
      </c>
      <c r="B233" s="103" t="s">
        <v>139</v>
      </c>
      <c r="C233" s="104" t="s">
        <v>17</v>
      </c>
      <c r="D233" s="105">
        <f>[1]공량산출서!F48</f>
        <v>10</v>
      </c>
      <c r="E233" s="106"/>
      <c r="F233" s="106">
        <f t="shared" si="234"/>
        <v>0</v>
      </c>
      <c r="G233" s="106"/>
      <c r="H233" s="106">
        <f t="shared" si="235"/>
        <v>0</v>
      </c>
      <c r="I233" s="106"/>
      <c r="J233" s="106">
        <f t="shared" si="236"/>
        <v>0</v>
      </c>
      <c r="K233" s="106">
        <f t="shared" si="213"/>
        <v>0</v>
      </c>
      <c r="L233" s="106">
        <f t="shared" si="213"/>
        <v>0</v>
      </c>
      <c r="M233" s="130"/>
      <c r="O233" s="31" t="s">
        <v>457</v>
      </c>
      <c r="P233" s="31" t="s">
        <v>452</v>
      </c>
      <c r="Q233" s="27">
        <v>1</v>
      </c>
      <c r="R233" s="27">
        <f t="shared" si="214"/>
        <v>0</v>
      </c>
      <c r="S233" s="27">
        <f t="shared" si="215"/>
        <v>0</v>
      </c>
      <c r="T233" s="27">
        <f t="shared" si="216"/>
        <v>0</v>
      </c>
      <c r="U233" s="27">
        <f t="shared" si="217"/>
        <v>0</v>
      </c>
      <c r="V233" s="27">
        <f t="shared" si="218"/>
        <v>0</v>
      </c>
      <c r="W233" s="27">
        <f t="shared" si="219"/>
        <v>0</v>
      </c>
      <c r="X233" s="27">
        <f t="shared" si="220"/>
        <v>0</v>
      </c>
      <c r="Y233" s="27">
        <f t="shared" si="221"/>
        <v>0</v>
      </c>
      <c r="Z233" s="27">
        <f t="shared" si="222"/>
        <v>0</v>
      </c>
      <c r="AA233" s="27">
        <f t="shared" si="223"/>
        <v>0</v>
      </c>
      <c r="AB233" s="27">
        <f t="shared" si="224"/>
        <v>0</v>
      </c>
      <c r="AC233" s="27">
        <f t="shared" si="225"/>
        <v>0</v>
      </c>
      <c r="AD233" s="27">
        <f t="shared" si="226"/>
        <v>0</v>
      </c>
      <c r="AE233" s="27">
        <f t="shared" si="227"/>
        <v>0</v>
      </c>
      <c r="AF233" s="27">
        <f t="shared" si="228"/>
        <v>0</v>
      </c>
      <c r="AG233" s="27">
        <f t="shared" si="229"/>
        <v>0</v>
      </c>
      <c r="AH233" s="27">
        <f t="shared" si="230"/>
        <v>0</v>
      </c>
      <c r="AI233" s="27">
        <f t="shared" si="231"/>
        <v>0</v>
      </c>
      <c r="AJ233" s="27">
        <f t="shared" si="232"/>
        <v>0</v>
      </c>
      <c r="AK233" s="27">
        <f t="shared" si="233"/>
        <v>0</v>
      </c>
    </row>
    <row r="234" spans="1:38" ht="20.100000000000001" customHeight="1">
      <c r="A234" s="103" t="s">
        <v>302</v>
      </c>
      <c r="B234" s="103" t="s">
        <v>139</v>
      </c>
      <c r="C234" s="104" t="s">
        <v>17</v>
      </c>
      <c r="D234" s="105">
        <v>44</v>
      </c>
      <c r="E234" s="106"/>
      <c r="F234" s="106">
        <f t="shared" si="234"/>
        <v>0</v>
      </c>
      <c r="G234" s="106"/>
      <c r="H234" s="106">
        <f t="shared" si="235"/>
        <v>0</v>
      </c>
      <c r="I234" s="106"/>
      <c r="J234" s="106">
        <f t="shared" si="236"/>
        <v>0</v>
      </c>
      <c r="K234" s="106">
        <f t="shared" si="213"/>
        <v>0</v>
      </c>
      <c r="L234" s="106">
        <f t="shared" si="213"/>
        <v>0</v>
      </c>
      <c r="M234" s="130"/>
      <c r="O234" s="31" t="s">
        <v>457</v>
      </c>
      <c r="P234" s="31" t="s">
        <v>452</v>
      </c>
      <c r="Q234" s="27">
        <v>1</v>
      </c>
      <c r="R234" s="27">
        <f t="shared" si="214"/>
        <v>0</v>
      </c>
      <c r="S234" s="27">
        <f t="shared" si="215"/>
        <v>0</v>
      </c>
      <c r="T234" s="27">
        <f t="shared" si="216"/>
        <v>0</v>
      </c>
      <c r="U234" s="27">
        <f t="shared" si="217"/>
        <v>0</v>
      </c>
      <c r="V234" s="27">
        <f t="shared" si="218"/>
        <v>0</v>
      </c>
      <c r="W234" s="27">
        <f t="shared" si="219"/>
        <v>0</v>
      </c>
      <c r="X234" s="27">
        <f t="shared" si="220"/>
        <v>0</v>
      </c>
      <c r="Y234" s="27">
        <f t="shared" si="221"/>
        <v>0</v>
      </c>
      <c r="Z234" s="27">
        <f t="shared" si="222"/>
        <v>0</v>
      </c>
      <c r="AA234" s="27">
        <f t="shared" si="223"/>
        <v>0</v>
      </c>
      <c r="AB234" s="27">
        <f t="shared" si="224"/>
        <v>0</v>
      </c>
      <c r="AC234" s="27">
        <f t="shared" si="225"/>
        <v>0</v>
      </c>
      <c r="AD234" s="27">
        <f t="shared" si="226"/>
        <v>0</v>
      </c>
      <c r="AE234" s="27">
        <f t="shared" si="227"/>
        <v>0</v>
      </c>
      <c r="AF234" s="27">
        <f t="shared" si="228"/>
        <v>0</v>
      </c>
      <c r="AG234" s="27">
        <f t="shared" si="229"/>
        <v>0</v>
      </c>
      <c r="AH234" s="27">
        <f t="shared" si="230"/>
        <v>0</v>
      </c>
      <c r="AI234" s="27">
        <f t="shared" si="231"/>
        <v>0</v>
      </c>
      <c r="AJ234" s="27">
        <f t="shared" si="232"/>
        <v>0</v>
      </c>
      <c r="AK234" s="27">
        <f t="shared" si="233"/>
        <v>0</v>
      </c>
    </row>
    <row r="235" spans="1:38" ht="20.100000000000001" customHeight="1">
      <c r="A235" s="103" t="s">
        <v>242</v>
      </c>
      <c r="B235" s="103" t="s">
        <v>248</v>
      </c>
      <c r="C235" s="104" t="s">
        <v>34</v>
      </c>
      <c r="D235" s="105">
        <f>[1]공량산출서!F50</f>
        <v>116</v>
      </c>
      <c r="E235" s="106"/>
      <c r="F235" s="106">
        <f t="shared" si="234"/>
        <v>0</v>
      </c>
      <c r="G235" s="106"/>
      <c r="H235" s="106">
        <f t="shared" si="235"/>
        <v>0</v>
      </c>
      <c r="I235" s="106"/>
      <c r="J235" s="106">
        <f t="shared" si="236"/>
        <v>0</v>
      </c>
      <c r="K235" s="106">
        <f t="shared" si="213"/>
        <v>0</v>
      </c>
      <c r="L235" s="106">
        <f t="shared" si="213"/>
        <v>0</v>
      </c>
      <c r="M235" s="130"/>
      <c r="O235" s="31" t="s">
        <v>685</v>
      </c>
      <c r="P235" s="31" t="s">
        <v>452</v>
      </c>
      <c r="Q235" s="27">
        <v>1</v>
      </c>
      <c r="R235" s="27">
        <f t="shared" si="214"/>
        <v>0</v>
      </c>
      <c r="S235" s="27">
        <f t="shared" si="215"/>
        <v>0</v>
      </c>
      <c r="T235" s="27">
        <f t="shared" si="216"/>
        <v>0</v>
      </c>
      <c r="U235" s="27">
        <f t="shared" si="217"/>
        <v>0</v>
      </c>
      <c r="V235" s="27">
        <f t="shared" si="218"/>
        <v>0</v>
      </c>
      <c r="W235" s="27">
        <f t="shared" si="219"/>
        <v>0</v>
      </c>
      <c r="X235" s="27">
        <f t="shared" si="220"/>
        <v>0</v>
      </c>
      <c r="Y235" s="27">
        <f t="shared" si="221"/>
        <v>0</v>
      </c>
      <c r="Z235" s="27">
        <f t="shared" si="222"/>
        <v>0</v>
      </c>
      <c r="AA235" s="27">
        <f t="shared" si="223"/>
        <v>0</v>
      </c>
      <c r="AB235" s="27">
        <f t="shared" si="224"/>
        <v>0</v>
      </c>
      <c r="AC235" s="27">
        <f t="shared" si="225"/>
        <v>0</v>
      </c>
      <c r="AD235" s="27">
        <f t="shared" si="226"/>
        <v>0</v>
      </c>
      <c r="AE235" s="27">
        <f t="shared" si="227"/>
        <v>0</v>
      </c>
      <c r="AF235" s="27">
        <f t="shared" si="228"/>
        <v>0</v>
      </c>
      <c r="AG235" s="27">
        <f t="shared" si="229"/>
        <v>0</v>
      </c>
      <c r="AH235" s="27">
        <f t="shared" si="230"/>
        <v>0</v>
      </c>
      <c r="AI235" s="27">
        <f t="shared" si="231"/>
        <v>0</v>
      </c>
      <c r="AJ235" s="27">
        <f t="shared" si="232"/>
        <v>0</v>
      </c>
      <c r="AK235" s="27">
        <f t="shared" si="233"/>
        <v>0</v>
      </c>
    </row>
    <row r="236" spans="1:38" ht="20.100000000000001" customHeight="1">
      <c r="A236" s="103" t="s">
        <v>674</v>
      </c>
      <c r="B236" s="103" t="str">
        <f>"보온재의 "&amp;N236*100&amp;"%"</f>
        <v>보온재의 3%</v>
      </c>
      <c r="C236" s="109" t="s">
        <v>459</v>
      </c>
      <c r="D236" s="110" t="s">
        <v>460</v>
      </c>
      <c r="E236" s="106"/>
      <c r="F236" s="106">
        <f>ROUNDDOWN(E236*N236,0)</f>
        <v>0</v>
      </c>
      <c r="G236" s="106"/>
      <c r="H236" s="106"/>
      <c r="I236" s="106"/>
      <c r="J236" s="106"/>
      <c r="K236" s="106">
        <f t="shared" si="213"/>
        <v>0</v>
      </c>
      <c r="L236" s="106">
        <f t="shared" si="213"/>
        <v>0</v>
      </c>
      <c r="M236" s="130"/>
      <c r="N236" s="32">
        <v>0.03</v>
      </c>
      <c r="P236" s="31" t="s">
        <v>452</v>
      </c>
      <c r="Q236" s="27">
        <v>1</v>
      </c>
      <c r="R236" s="27">
        <f t="shared" si="214"/>
        <v>0</v>
      </c>
      <c r="S236" s="27">
        <f t="shared" si="215"/>
        <v>0</v>
      </c>
      <c r="T236" s="27">
        <f t="shared" si="216"/>
        <v>0</v>
      </c>
      <c r="U236" s="27">
        <f t="shared" si="217"/>
        <v>0</v>
      </c>
      <c r="V236" s="27">
        <f t="shared" si="218"/>
        <v>0</v>
      </c>
      <c r="W236" s="27">
        <f t="shared" si="219"/>
        <v>0</v>
      </c>
      <c r="X236" s="27">
        <f t="shared" si="220"/>
        <v>0</v>
      </c>
      <c r="Y236" s="27">
        <f t="shared" si="221"/>
        <v>0</v>
      </c>
      <c r="Z236" s="27">
        <f t="shared" si="222"/>
        <v>0</v>
      </c>
      <c r="AA236" s="27">
        <f t="shared" si="223"/>
        <v>0</v>
      </c>
      <c r="AB236" s="27">
        <f t="shared" si="224"/>
        <v>0</v>
      </c>
      <c r="AC236" s="27">
        <f t="shared" si="225"/>
        <v>0</v>
      </c>
      <c r="AD236" s="27">
        <f t="shared" si="226"/>
        <v>0</v>
      </c>
      <c r="AE236" s="27">
        <f t="shared" si="227"/>
        <v>0</v>
      </c>
      <c r="AF236" s="27">
        <f t="shared" si="228"/>
        <v>0</v>
      </c>
      <c r="AG236" s="27">
        <f t="shared" si="229"/>
        <v>0</v>
      </c>
      <c r="AH236" s="27">
        <f t="shared" si="230"/>
        <v>0</v>
      </c>
      <c r="AI236" s="27">
        <f t="shared" si="231"/>
        <v>0</v>
      </c>
      <c r="AJ236" s="27">
        <f t="shared" si="232"/>
        <v>0</v>
      </c>
      <c r="AK236" s="27">
        <f t="shared" si="233"/>
        <v>0</v>
      </c>
    </row>
    <row r="237" spans="1:38" ht="20.100000000000001" customHeight="1">
      <c r="A237" s="103" t="s">
        <v>296</v>
      </c>
      <c r="B237" s="103" t="s">
        <v>297</v>
      </c>
      <c r="C237" s="104" t="s">
        <v>17</v>
      </c>
      <c r="D237" s="105">
        <v>160</v>
      </c>
      <c r="E237" s="106"/>
      <c r="F237" s="106">
        <f>ROUNDDOWN(D237*E237,0)</f>
        <v>0</v>
      </c>
      <c r="G237" s="106"/>
      <c r="H237" s="106">
        <f>ROUNDDOWN(D237*G237,0)</f>
        <v>0</v>
      </c>
      <c r="I237" s="106"/>
      <c r="J237" s="106">
        <f>ROUNDDOWN(D237*I237,0)</f>
        <v>0</v>
      </c>
      <c r="K237" s="106">
        <f t="shared" si="213"/>
        <v>0</v>
      </c>
      <c r="L237" s="106">
        <f t="shared" si="213"/>
        <v>0</v>
      </c>
      <c r="M237" s="130"/>
      <c r="O237" s="31" t="s">
        <v>457</v>
      </c>
      <c r="P237" s="31" t="s">
        <v>452</v>
      </c>
      <c r="Q237" s="27">
        <v>1</v>
      </c>
      <c r="R237" s="27">
        <f t="shared" si="214"/>
        <v>0</v>
      </c>
      <c r="S237" s="27">
        <f t="shared" si="215"/>
        <v>0</v>
      </c>
      <c r="T237" s="27">
        <f t="shared" si="216"/>
        <v>0</v>
      </c>
      <c r="U237" s="27">
        <f t="shared" si="217"/>
        <v>0</v>
      </c>
      <c r="V237" s="27">
        <f t="shared" si="218"/>
        <v>0</v>
      </c>
      <c r="W237" s="27">
        <f t="shared" si="219"/>
        <v>0</v>
      </c>
      <c r="X237" s="27">
        <f t="shared" si="220"/>
        <v>0</v>
      </c>
      <c r="Y237" s="27">
        <f t="shared" si="221"/>
        <v>0</v>
      </c>
      <c r="Z237" s="27">
        <f t="shared" si="222"/>
        <v>0</v>
      </c>
      <c r="AA237" s="27">
        <f t="shared" si="223"/>
        <v>0</v>
      </c>
      <c r="AB237" s="27">
        <f t="shared" si="224"/>
        <v>0</v>
      </c>
      <c r="AC237" s="27">
        <f t="shared" si="225"/>
        <v>0</v>
      </c>
      <c r="AD237" s="27">
        <f t="shared" si="226"/>
        <v>0</v>
      </c>
      <c r="AE237" s="27">
        <f t="shared" si="227"/>
        <v>0</v>
      </c>
      <c r="AF237" s="27">
        <f t="shared" si="228"/>
        <v>0</v>
      </c>
      <c r="AG237" s="27">
        <f t="shared" si="229"/>
        <v>0</v>
      </c>
      <c r="AH237" s="27">
        <f t="shared" si="230"/>
        <v>0</v>
      </c>
      <c r="AI237" s="27">
        <f t="shared" si="231"/>
        <v>0</v>
      </c>
      <c r="AJ237" s="27">
        <f t="shared" si="232"/>
        <v>0</v>
      </c>
      <c r="AK237" s="27">
        <f t="shared" si="233"/>
        <v>0</v>
      </c>
    </row>
    <row r="238" spans="1:38" ht="20.100000000000001" customHeight="1">
      <c r="A238" s="103" t="s">
        <v>211</v>
      </c>
      <c r="B238" s="103" t="s">
        <v>212</v>
      </c>
      <c r="C238" s="104" t="s">
        <v>17</v>
      </c>
      <c r="D238" s="105">
        <v>160</v>
      </c>
      <c r="E238" s="106"/>
      <c r="F238" s="106">
        <f>ROUNDDOWN(D238*E238,0)</f>
        <v>0</v>
      </c>
      <c r="G238" s="106"/>
      <c r="H238" s="106">
        <f>ROUNDDOWN(D238*G238,0)</f>
        <v>0</v>
      </c>
      <c r="I238" s="106"/>
      <c r="J238" s="106">
        <f>ROUNDDOWN(D238*I238,0)</f>
        <v>0</v>
      </c>
      <c r="K238" s="106">
        <f t="shared" si="213"/>
        <v>0</v>
      </c>
      <c r="L238" s="106">
        <f t="shared" si="213"/>
        <v>0</v>
      </c>
      <c r="M238" s="130"/>
      <c r="O238" s="31" t="s">
        <v>457</v>
      </c>
      <c r="P238" s="31" t="s">
        <v>452</v>
      </c>
      <c r="Q238" s="27">
        <v>1</v>
      </c>
      <c r="R238" s="27">
        <f t="shared" si="214"/>
        <v>0</v>
      </c>
      <c r="S238" s="27">
        <f t="shared" si="215"/>
        <v>0</v>
      </c>
      <c r="T238" s="27">
        <f t="shared" si="216"/>
        <v>0</v>
      </c>
      <c r="U238" s="27">
        <f t="shared" si="217"/>
        <v>0</v>
      </c>
      <c r="V238" s="27">
        <f t="shared" si="218"/>
        <v>0</v>
      </c>
      <c r="W238" s="27">
        <f t="shared" si="219"/>
        <v>0</v>
      </c>
      <c r="X238" s="27">
        <f t="shared" si="220"/>
        <v>0</v>
      </c>
      <c r="Y238" s="27">
        <f t="shared" si="221"/>
        <v>0</v>
      </c>
      <c r="Z238" s="27">
        <f t="shared" si="222"/>
        <v>0</v>
      </c>
      <c r="AA238" s="27">
        <f t="shared" si="223"/>
        <v>0</v>
      </c>
      <c r="AB238" s="27">
        <f t="shared" si="224"/>
        <v>0</v>
      </c>
      <c r="AC238" s="27">
        <f t="shared" si="225"/>
        <v>0</v>
      </c>
      <c r="AD238" s="27">
        <f t="shared" si="226"/>
        <v>0</v>
      </c>
      <c r="AE238" s="27">
        <f t="shared" si="227"/>
        <v>0</v>
      </c>
      <c r="AF238" s="27">
        <f t="shared" si="228"/>
        <v>0</v>
      </c>
      <c r="AG238" s="27">
        <f t="shared" si="229"/>
        <v>0</v>
      </c>
      <c r="AH238" s="27">
        <f t="shared" si="230"/>
        <v>0</v>
      </c>
      <c r="AI238" s="27">
        <f t="shared" si="231"/>
        <v>0</v>
      </c>
      <c r="AJ238" s="27">
        <f t="shared" si="232"/>
        <v>0</v>
      </c>
      <c r="AK238" s="27">
        <f t="shared" si="233"/>
        <v>0</v>
      </c>
    </row>
    <row r="239" spans="1:38" ht="20.100000000000001" customHeight="1">
      <c r="A239" s="103" t="s">
        <v>348</v>
      </c>
      <c r="B239" s="103"/>
      <c r="C239" s="104" t="s">
        <v>339</v>
      </c>
      <c r="D239" s="105">
        <f>[1]공량산출서!J59</f>
        <v>4</v>
      </c>
      <c r="E239" s="106"/>
      <c r="F239" s="106">
        <f>ROUNDDOWN(D239*E239,0)</f>
        <v>0</v>
      </c>
      <c r="G239" s="106"/>
      <c r="H239" s="106">
        <f>ROUNDDOWN(D239*G239,0)</f>
        <v>0</v>
      </c>
      <c r="I239" s="106"/>
      <c r="J239" s="106">
        <f>ROUNDDOWN(D239*I239,0)</f>
        <v>0</v>
      </c>
      <c r="K239" s="106">
        <f t="shared" si="213"/>
        <v>0</v>
      </c>
      <c r="L239" s="106">
        <f t="shared" si="213"/>
        <v>0</v>
      </c>
      <c r="M239" s="130"/>
      <c r="O239" s="31" t="s">
        <v>462</v>
      </c>
      <c r="P239" s="31" t="s">
        <v>452</v>
      </c>
      <c r="Q239" s="27">
        <v>1</v>
      </c>
      <c r="R239" s="27">
        <f t="shared" si="214"/>
        <v>0</v>
      </c>
      <c r="S239" s="27">
        <f t="shared" si="215"/>
        <v>0</v>
      </c>
      <c r="T239" s="27">
        <f t="shared" si="216"/>
        <v>0</v>
      </c>
      <c r="U239" s="27">
        <f t="shared" si="217"/>
        <v>0</v>
      </c>
      <c r="V239" s="27">
        <f t="shared" si="218"/>
        <v>0</v>
      </c>
      <c r="W239" s="27">
        <f t="shared" si="219"/>
        <v>0</v>
      </c>
      <c r="X239" s="27">
        <f t="shared" si="220"/>
        <v>0</v>
      </c>
      <c r="Y239" s="27">
        <f t="shared" si="221"/>
        <v>0</v>
      </c>
      <c r="Z239" s="27">
        <f t="shared" si="222"/>
        <v>0</v>
      </c>
      <c r="AA239" s="27">
        <f t="shared" si="223"/>
        <v>0</v>
      </c>
      <c r="AB239" s="27">
        <f t="shared" si="224"/>
        <v>0</v>
      </c>
      <c r="AC239" s="27">
        <f t="shared" si="225"/>
        <v>0</v>
      </c>
      <c r="AD239" s="27">
        <f t="shared" si="226"/>
        <v>0</v>
      </c>
      <c r="AE239" s="27">
        <f t="shared" si="227"/>
        <v>0</v>
      </c>
      <c r="AF239" s="27">
        <f t="shared" si="228"/>
        <v>0</v>
      </c>
      <c r="AG239" s="27">
        <f t="shared" si="229"/>
        <v>0</v>
      </c>
      <c r="AH239" s="27">
        <f t="shared" si="230"/>
        <v>0</v>
      </c>
      <c r="AI239" s="27">
        <f t="shared" si="231"/>
        <v>0</v>
      </c>
      <c r="AJ239" s="27">
        <f t="shared" si="232"/>
        <v>0</v>
      </c>
      <c r="AK239" s="27">
        <f t="shared" si="233"/>
        <v>0</v>
      </c>
    </row>
    <row r="240" spans="1:38" ht="20.100000000000001" customHeight="1">
      <c r="A240" s="103" t="s">
        <v>352</v>
      </c>
      <c r="B240" s="103"/>
      <c r="C240" s="104" t="s">
        <v>339</v>
      </c>
      <c r="D240" s="105">
        <f>[1]공량산출서!H59</f>
        <v>2.1</v>
      </c>
      <c r="E240" s="106"/>
      <c r="F240" s="106">
        <f>ROUNDDOWN(D240*E240,0)</f>
        <v>0</v>
      </c>
      <c r="G240" s="106"/>
      <c r="H240" s="106">
        <f>ROUNDDOWN(D240*G240,0)</f>
        <v>0</v>
      </c>
      <c r="I240" s="106"/>
      <c r="J240" s="106">
        <f>ROUNDDOWN(D240*I240,0)</f>
        <v>0</v>
      </c>
      <c r="K240" s="106">
        <f t="shared" si="213"/>
        <v>0</v>
      </c>
      <c r="L240" s="106">
        <f t="shared" si="213"/>
        <v>0</v>
      </c>
      <c r="M240" s="130"/>
      <c r="O240" s="31" t="s">
        <v>462</v>
      </c>
      <c r="P240" s="31" t="s">
        <v>452</v>
      </c>
      <c r="Q240" s="27">
        <v>1</v>
      </c>
      <c r="R240" s="27">
        <f t="shared" si="214"/>
        <v>0</v>
      </c>
      <c r="S240" s="27">
        <f t="shared" si="215"/>
        <v>0</v>
      </c>
      <c r="T240" s="27">
        <f t="shared" si="216"/>
        <v>0</v>
      </c>
      <c r="U240" s="27">
        <f t="shared" si="217"/>
        <v>0</v>
      </c>
      <c r="V240" s="27">
        <f t="shared" si="218"/>
        <v>0</v>
      </c>
      <c r="W240" s="27">
        <f t="shared" si="219"/>
        <v>0</v>
      </c>
      <c r="X240" s="27">
        <f t="shared" si="220"/>
        <v>0</v>
      </c>
      <c r="Y240" s="27">
        <f t="shared" si="221"/>
        <v>0</v>
      </c>
      <c r="Z240" s="27">
        <f t="shared" si="222"/>
        <v>0</v>
      </c>
      <c r="AA240" s="27">
        <f t="shared" si="223"/>
        <v>0</v>
      </c>
      <c r="AB240" s="27">
        <f t="shared" si="224"/>
        <v>0</v>
      </c>
      <c r="AC240" s="27">
        <f t="shared" si="225"/>
        <v>0</v>
      </c>
      <c r="AD240" s="27">
        <f t="shared" si="226"/>
        <v>0</v>
      </c>
      <c r="AE240" s="27">
        <f t="shared" si="227"/>
        <v>0</v>
      </c>
      <c r="AF240" s="27">
        <f t="shared" si="228"/>
        <v>0</v>
      </c>
      <c r="AG240" s="27">
        <f t="shared" si="229"/>
        <v>0</v>
      </c>
      <c r="AH240" s="27">
        <f t="shared" si="230"/>
        <v>0</v>
      </c>
      <c r="AI240" s="27">
        <f t="shared" si="231"/>
        <v>0</v>
      </c>
      <c r="AJ240" s="27">
        <f t="shared" si="232"/>
        <v>0</v>
      </c>
      <c r="AK240" s="27">
        <f t="shared" si="233"/>
        <v>0</v>
      </c>
    </row>
    <row r="241" spans="1:38" ht="20.100000000000001" customHeight="1">
      <c r="A241" s="103" t="s">
        <v>351</v>
      </c>
      <c r="B241" s="103"/>
      <c r="C241" s="104" t="s">
        <v>339</v>
      </c>
      <c r="D241" s="105">
        <f>[1]공량산출서!K59</f>
        <v>2.6</v>
      </c>
      <c r="E241" s="106"/>
      <c r="F241" s="106">
        <f>ROUNDDOWN(D241*E241,0)</f>
        <v>0</v>
      </c>
      <c r="G241" s="106"/>
      <c r="H241" s="106">
        <f>ROUNDDOWN(D241*G241,0)</f>
        <v>0</v>
      </c>
      <c r="I241" s="106"/>
      <c r="J241" s="106">
        <f>ROUNDDOWN(D241*I241,0)</f>
        <v>0</v>
      </c>
      <c r="K241" s="106">
        <f t="shared" si="213"/>
        <v>0</v>
      </c>
      <c r="L241" s="106">
        <f t="shared" si="213"/>
        <v>0</v>
      </c>
      <c r="M241" s="130"/>
      <c r="O241" s="31" t="s">
        <v>462</v>
      </c>
      <c r="P241" s="31" t="s">
        <v>452</v>
      </c>
      <c r="Q241" s="27">
        <v>1</v>
      </c>
      <c r="R241" s="27">
        <f t="shared" si="214"/>
        <v>0</v>
      </c>
      <c r="S241" s="27">
        <f t="shared" si="215"/>
        <v>0</v>
      </c>
      <c r="T241" s="27">
        <f t="shared" si="216"/>
        <v>0</v>
      </c>
      <c r="U241" s="27">
        <f t="shared" si="217"/>
        <v>0</v>
      </c>
      <c r="V241" s="27">
        <f t="shared" si="218"/>
        <v>0</v>
      </c>
      <c r="W241" s="27">
        <f t="shared" si="219"/>
        <v>0</v>
      </c>
      <c r="X241" s="27">
        <f t="shared" si="220"/>
        <v>0</v>
      </c>
      <c r="Y241" s="27">
        <f t="shared" si="221"/>
        <v>0</v>
      </c>
      <c r="Z241" s="27">
        <f t="shared" si="222"/>
        <v>0</v>
      </c>
      <c r="AA241" s="27">
        <f t="shared" si="223"/>
        <v>0</v>
      </c>
      <c r="AB241" s="27">
        <f t="shared" si="224"/>
        <v>0</v>
      </c>
      <c r="AC241" s="27">
        <f t="shared" si="225"/>
        <v>0</v>
      </c>
      <c r="AD241" s="27">
        <f t="shared" si="226"/>
        <v>0</v>
      </c>
      <c r="AE241" s="27">
        <f t="shared" si="227"/>
        <v>0</v>
      </c>
      <c r="AF241" s="27">
        <f t="shared" si="228"/>
        <v>0</v>
      </c>
      <c r="AG241" s="27">
        <f t="shared" si="229"/>
        <v>0</v>
      </c>
      <c r="AH241" s="27">
        <f t="shared" si="230"/>
        <v>0</v>
      </c>
      <c r="AI241" s="27">
        <f t="shared" si="231"/>
        <v>0</v>
      </c>
      <c r="AJ241" s="27">
        <f t="shared" si="232"/>
        <v>0</v>
      </c>
      <c r="AK241" s="27">
        <f t="shared" si="233"/>
        <v>0</v>
      </c>
    </row>
    <row r="242" spans="1:38" ht="20.100000000000001" customHeight="1">
      <c r="A242" s="103" t="s">
        <v>538</v>
      </c>
      <c r="B242" s="103" t="str">
        <f>"노무비의 "&amp;N242*100&amp;"%"</f>
        <v>노무비의 3%</v>
      </c>
      <c r="C242" s="109" t="s">
        <v>459</v>
      </c>
      <c r="D242" s="110" t="s">
        <v>460</v>
      </c>
      <c r="E242" s="106"/>
      <c r="F242" s="106">
        <f>ROUNDDOWN(E242*N242,0)</f>
        <v>0</v>
      </c>
      <c r="G242" s="106"/>
      <c r="H242" s="106"/>
      <c r="I242" s="106"/>
      <c r="J242" s="106"/>
      <c r="K242" s="106">
        <f t="shared" si="213"/>
        <v>0</v>
      </c>
      <c r="L242" s="106">
        <f t="shared" si="213"/>
        <v>0</v>
      </c>
      <c r="M242" s="130"/>
      <c r="N242" s="32">
        <v>0.03</v>
      </c>
      <c r="P242" s="31" t="s">
        <v>452</v>
      </c>
      <c r="Q242" s="27">
        <v>1</v>
      </c>
      <c r="R242" s="27">
        <f t="shared" si="214"/>
        <v>0</v>
      </c>
      <c r="S242" s="27">
        <f t="shared" si="215"/>
        <v>0</v>
      </c>
      <c r="T242" s="27">
        <f t="shared" si="216"/>
        <v>0</v>
      </c>
      <c r="U242" s="27">
        <f t="shared" si="217"/>
        <v>0</v>
      </c>
      <c r="V242" s="27">
        <f t="shared" si="218"/>
        <v>0</v>
      </c>
      <c r="W242" s="27">
        <f t="shared" si="219"/>
        <v>0</v>
      </c>
      <c r="X242" s="27">
        <f t="shared" si="220"/>
        <v>0</v>
      </c>
      <c r="Y242" s="27">
        <f t="shared" si="221"/>
        <v>0</v>
      </c>
      <c r="Z242" s="27">
        <f t="shared" si="222"/>
        <v>0</v>
      </c>
      <c r="AA242" s="27">
        <f t="shared" si="223"/>
        <v>0</v>
      </c>
      <c r="AB242" s="27">
        <f t="shared" si="224"/>
        <v>0</v>
      </c>
      <c r="AC242" s="27">
        <f t="shared" si="225"/>
        <v>0</v>
      </c>
      <c r="AD242" s="27">
        <f t="shared" si="226"/>
        <v>0</v>
      </c>
      <c r="AE242" s="27">
        <f t="shared" si="227"/>
        <v>0</v>
      </c>
      <c r="AF242" s="27">
        <f t="shared" si="228"/>
        <v>0</v>
      </c>
      <c r="AG242" s="27">
        <f t="shared" si="229"/>
        <v>0</v>
      </c>
      <c r="AH242" s="27">
        <f t="shared" si="230"/>
        <v>0</v>
      </c>
      <c r="AI242" s="27">
        <f t="shared" si="231"/>
        <v>0</v>
      </c>
      <c r="AJ242" s="27">
        <f t="shared" si="232"/>
        <v>0</v>
      </c>
      <c r="AK242" s="27">
        <f t="shared" si="233"/>
        <v>0</v>
      </c>
    </row>
    <row r="243" spans="1:38" ht="20.100000000000001" customHeight="1">
      <c r="A243" s="103"/>
      <c r="B243" s="103"/>
      <c r="C243" s="104"/>
      <c r="D243" s="107"/>
      <c r="E243" s="107"/>
      <c r="F243" s="107"/>
      <c r="G243" s="107"/>
      <c r="H243" s="107"/>
      <c r="I243" s="107"/>
      <c r="J243" s="107"/>
      <c r="K243" s="107"/>
      <c r="L243" s="107"/>
      <c r="M243" s="130"/>
    </row>
    <row r="244" spans="1:38" ht="20.100000000000001" customHeight="1">
      <c r="A244" s="103"/>
      <c r="B244" s="103"/>
      <c r="C244" s="104"/>
      <c r="D244" s="107"/>
      <c r="E244" s="107"/>
      <c r="F244" s="107"/>
      <c r="G244" s="107"/>
      <c r="H244" s="107"/>
      <c r="I244" s="107"/>
      <c r="J244" s="107"/>
      <c r="K244" s="107"/>
      <c r="L244" s="107"/>
      <c r="M244" s="130"/>
    </row>
    <row r="245" spans="1:38" ht="20.100000000000001" customHeight="1">
      <c r="A245" s="136" t="s">
        <v>969</v>
      </c>
      <c r="B245" s="119"/>
      <c r="C245" s="120"/>
      <c r="D245" s="121"/>
      <c r="E245" s="122"/>
      <c r="F245" s="122">
        <f>SUMIF($Q$226:$Q$244, 1,$F$226:$F$244)</f>
        <v>0</v>
      </c>
      <c r="G245" s="122"/>
      <c r="H245" s="122">
        <f>SUMIF($Q$226:$Q$244, 1,$H$226:$H$244)</f>
        <v>0</v>
      </c>
      <c r="I245" s="122"/>
      <c r="J245" s="122">
        <f>SUMIF($Q$226:$Q$244, 1,$J$226:$J$244)</f>
        <v>0</v>
      </c>
      <c r="K245" s="122"/>
      <c r="L245" s="122">
        <f>F245+H245+J245</f>
        <v>0</v>
      </c>
      <c r="M245" s="137"/>
      <c r="R245" s="27">
        <f>SUM($R$226:$R$244)</f>
        <v>0</v>
      </c>
      <c r="S245" s="27">
        <f>SUM($S$226:$S$244)</f>
        <v>0</v>
      </c>
      <c r="T245" s="27">
        <f>SUM($T$226:$T$244)</f>
        <v>0</v>
      </c>
      <c r="U245" s="27">
        <f>SUM($U$226:$U$244)</f>
        <v>0</v>
      </c>
      <c r="V245" s="27">
        <f>SUM($V$226:$V$244)</f>
        <v>0</v>
      </c>
      <c r="W245" s="27">
        <f>SUM($W$226:$W$244)</f>
        <v>0</v>
      </c>
      <c r="X245" s="27">
        <f>SUM($X$226:$X$244)</f>
        <v>0</v>
      </c>
      <c r="Y245" s="27">
        <f>SUM($Y$226:$Y$244)</f>
        <v>0</v>
      </c>
      <c r="Z245" s="27">
        <f>SUM($Z$226:$Z$244)</f>
        <v>0</v>
      </c>
      <c r="AA245" s="27">
        <f>SUM($AA$226:$AA$244)</f>
        <v>0</v>
      </c>
      <c r="AB245" s="27">
        <f>SUM($AB$226:$AB$244)</f>
        <v>0</v>
      </c>
      <c r="AC245" s="27">
        <f>SUM($AC$226:$AC$244)</f>
        <v>0</v>
      </c>
      <c r="AD245" s="27">
        <f>SUM($AD$226:$AD$244)</f>
        <v>0</v>
      </c>
      <c r="AE245" s="27">
        <f>SUM($AE$226:$AE$244)</f>
        <v>0</v>
      </c>
      <c r="AF245" s="27">
        <f>SUM($AF$226:$AF$244)</f>
        <v>0</v>
      </c>
      <c r="AG245" s="27">
        <f>SUM($AG$226:$AG$244)</f>
        <v>0</v>
      </c>
      <c r="AH245" s="27">
        <f>SUM($AH$226:$AH$244)</f>
        <v>0</v>
      </c>
      <c r="AI245" s="27">
        <f>SUM($AI$226:$AI$244)</f>
        <v>0</v>
      </c>
      <c r="AJ245" s="27">
        <f>SUM($AJ$226:$AJ$244)</f>
        <v>0</v>
      </c>
      <c r="AK245" s="27">
        <f>SUM($AK$226:$AK$244)</f>
        <v>0</v>
      </c>
      <c r="AL245" s="27">
        <f>SUM($AL$226:$AL$244)</f>
        <v>0</v>
      </c>
    </row>
    <row r="246" spans="1:38" ht="20.100000000000001" customHeight="1">
      <c r="A246" s="64" t="s">
        <v>428</v>
      </c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134"/>
    </row>
    <row r="247" spans="1:38" ht="20.100000000000001" customHeight="1">
      <c r="A247" s="103" t="s">
        <v>15</v>
      </c>
      <c r="B247" s="103" t="s">
        <v>16</v>
      </c>
      <c r="C247" s="104" t="s">
        <v>17</v>
      </c>
      <c r="D247" s="105">
        <v>34</v>
      </c>
      <c r="E247" s="106"/>
      <c r="F247" s="106">
        <f t="shared" ref="F247:F253" si="237">ROUNDDOWN(D247*E247,0)</f>
        <v>0</v>
      </c>
      <c r="G247" s="106"/>
      <c r="H247" s="106">
        <f t="shared" ref="H247:H253" si="238">ROUNDDOWN(D247*G247,0)</f>
        <v>0</v>
      </c>
      <c r="I247" s="106"/>
      <c r="J247" s="106">
        <f t="shared" ref="J247:J253" si="239">ROUNDDOWN(D247*I247,0)</f>
        <v>0</v>
      </c>
      <c r="K247" s="106">
        <f t="shared" ref="K247:L260" si="240">E247+G247+I247</f>
        <v>0</v>
      </c>
      <c r="L247" s="106">
        <f t="shared" si="240"/>
        <v>0</v>
      </c>
      <c r="M247" s="130"/>
      <c r="O247" s="31" t="s">
        <v>457</v>
      </c>
      <c r="P247" s="31" t="s">
        <v>452</v>
      </c>
      <c r="Q247" s="27">
        <v>1</v>
      </c>
      <c r="R247" s="27">
        <f t="shared" ref="R247:R260" si="241">IF(P247="기계경비",J247,0)</f>
        <v>0</v>
      </c>
      <c r="S247" s="27">
        <f t="shared" ref="S247:S260" si="242">IF(P247="운반비",J247,0)</f>
        <v>0</v>
      </c>
      <c r="T247" s="27">
        <f t="shared" ref="T247:T260" si="243">IF(P247="작업부산물",F247,0)</f>
        <v>0</v>
      </c>
      <c r="U247" s="27">
        <f t="shared" ref="U247:U260" si="244">IF(P247="관급",ROUNDDOWN(D247*E247,0),0)+IF(P247="지급",ROUNDDOWN(D247*E247,0),0)</f>
        <v>0</v>
      </c>
      <c r="V247" s="27">
        <f t="shared" ref="V247:V260" si="245">IF(P247="외주비",F247+H247+J247,0)</f>
        <v>0</v>
      </c>
      <c r="W247" s="27">
        <f t="shared" ref="W247:W260" si="246">IF(P247="장비비",F247+H247+J247,0)</f>
        <v>0</v>
      </c>
      <c r="X247" s="27">
        <f t="shared" ref="X247:X260" si="247">IF(P247="폐기물처리비",J247,0)</f>
        <v>0</v>
      </c>
      <c r="Y247" s="27">
        <f t="shared" ref="Y247:Y260" si="248">IF(P247="가설비",J247,0)</f>
        <v>0</v>
      </c>
      <c r="Z247" s="27">
        <f t="shared" ref="Z247:Z260" si="249">IF(P247="잡비제외분",F247,0)</f>
        <v>0</v>
      </c>
      <c r="AA247" s="27">
        <f t="shared" ref="AA247:AA260" si="250">IF(P247="사급자재대",L247,0)</f>
        <v>0</v>
      </c>
      <c r="AB247" s="27">
        <f t="shared" ref="AB247:AB260" si="251">IF(P247="관급자재대",L247,0)</f>
        <v>0</v>
      </c>
      <c r="AC247" s="27">
        <f t="shared" ref="AC247:AC260" si="252">IF(P247="사용자항목1",L247,0)</f>
        <v>0</v>
      </c>
      <c r="AD247" s="27">
        <f t="shared" ref="AD247:AD260" si="253">IF(P247="사용자항목2",L247,0)</f>
        <v>0</v>
      </c>
      <c r="AE247" s="27">
        <f t="shared" ref="AE247:AE260" si="254">IF(P247="사용자항목3",L247,0)</f>
        <v>0</v>
      </c>
      <c r="AF247" s="27">
        <f t="shared" ref="AF247:AF260" si="255">IF(P247="사용자항목4",L247,0)</f>
        <v>0</v>
      </c>
      <c r="AG247" s="27">
        <f t="shared" ref="AG247:AG260" si="256">IF(P247="사용자항목5",L247,0)</f>
        <v>0</v>
      </c>
      <c r="AH247" s="27">
        <f t="shared" ref="AH247:AH260" si="257">IF(P247="사용자항목6",L247,0)</f>
        <v>0</v>
      </c>
      <c r="AI247" s="27">
        <f t="shared" ref="AI247:AI260" si="258">IF(P247="사용자항목7",L247,0)</f>
        <v>0</v>
      </c>
      <c r="AJ247" s="27">
        <f t="shared" ref="AJ247:AJ260" si="259">IF(P247="사용자항목8",L247,0)</f>
        <v>0</v>
      </c>
      <c r="AK247" s="27">
        <f t="shared" ref="AK247:AK260" si="260">IF(P247="사용자항목9",L247,0)</f>
        <v>0</v>
      </c>
    </row>
    <row r="248" spans="1:38" ht="20.100000000000001" customHeight="1">
      <c r="A248" s="103" t="s">
        <v>15</v>
      </c>
      <c r="B248" s="103" t="s">
        <v>20</v>
      </c>
      <c r="C248" s="104" t="s">
        <v>17</v>
      </c>
      <c r="D248" s="105">
        <v>30</v>
      </c>
      <c r="E248" s="106"/>
      <c r="F248" s="106">
        <f t="shared" si="237"/>
        <v>0</v>
      </c>
      <c r="G248" s="106"/>
      <c r="H248" s="106">
        <f t="shared" si="238"/>
        <v>0</v>
      </c>
      <c r="I248" s="106"/>
      <c r="J248" s="106">
        <f t="shared" si="239"/>
        <v>0</v>
      </c>
      <c r="K248" s="106">
        <f t="shared" si="240"/>
        <v>0</v>
      </c>
      <c r="L248" s="106">
        <f t="shared" si="240"/>
        <v>0</v>
      </c>
      <c r="M248" s="130"/>
      <c r="O248" s="31" t="s">
        <v>457</v>
      </c>
      <c r="P248" s="31" t="s">
        <v>452</v>
      </c>
      <c r="Q248" s="27">
        <v>1</v>
      </c>
      <c r="R248" s="27">
        <f t="shared" si="241"/>
        <v>0</v>
      </c>
      <c r="S248" s="27">
        <f t="shared" si="242"/>
        <v>0</v>
      </c>
      <c r="T248" s="27">
        <f t="shared" si="243"/>
        <v>0</v>
      </c>
      <c r="U248" s="27">
        <f t="shared" si="244"/>
        <v>0</v>
      </c>
      <c r="V248" s="27">
        <f t="shared" si="245"/>
        <v>0</v>
      </c>
      <c r="W248" s="27">
        <f t="shared" si="246"/>
        <v>0</v>
      </c>
      <c r="X248" s="27">
        <f t="shared" si="247"/>
        <v>0</v>
      </c>
      <c r="Y248" s="27">
        <f t="shared" si="248"/>
        <v>0</v>
      </c>
      <c r="Z248" s="27">
        <f t="shared" si="249"/>
        <v>0</v>
      </c>
      <c r="AA248" s="27">
        <f t="shared" si="250"/>
        <v>0</v>
      </c>
      <c r="AB248" s="27">
        <f t="shared" si="251"/>
        <v>0</v>
      </c>
      <c r="AC248" s="27">
        <f t="shared" si="252"/>
        <v>0</v>
      </c>
      <c r="AD248" s="27">
        <f t="shared" si="253"/>
        <v>0</v>
      </c>
      <c r="AE248" s="27">
        <f t="shared" si="254"/>
        <v>0</v>
      </c>
      <c r="AF248" s="27">
        <f t="shared" si="255"/>
        <v>0</v>
      </c>
      <c r="AG248" s="27">
        <f t="shared" si="256"/>
        <v>0</v>
      </c>
      <c r="AH248" s="27">
        <f t="shared" si="257"/>
        <v>0</v>
      </c>
      <c r="AI248" s="27">
        <f t="shared" si="258"/>
        <v>0</v>
      </c>
      <c r="AJ248" s="27">
        <f t="shared" si="259"/>
        <v>0</v>
      </c>
      <c r="AK248" s="27">
        <f t="shared" si="260"/>
        <v>0</v>
      </c>
    </row>
    <row r="249" spans="1:38" ht="20.100000000000001" customHeight="1">
      <c r="A249" s="103" t="s">
        <v>21</v>
      </c>
      <c r="B249" s="103" t="s">
        <v>22</v>
      </c>
      <c r="C249" s="104" t="s">
        <v>17</v>
      </c>
      <c r="D249" s="105">
        <v>10</v>
      </c>
      <c r="E249" s="106"/>
      <c r="F249" s="106">
        <f t="shared" si="237"/>
        <v>0</v>
      </c>
      <c r="G249" s="106"/>
      <c r="H249" s="106">
        <f t="shared" si="238"/>
        <v>0</v>
      </c>
      <c r="I249" s="106"/>
      <c r="J249" s="106">
        <f t="shared" si="239"/>
        <v>0</v>
      </c>
      <c r="K249" s="106">
        <f t="shared" si="240"/>
        <v>0</v>
      </c>
      <c r="L249" s="106">
        <f t="shared" si="240"/>
        <v>0</v>
      </c>
      <c r="M249" s="130"/>
      <c r="O249" s="31" t="s">
        <v>457</v>
      </c>
      <c r="P249" s="31" t="s">
        <v>452</v>
      </c>
      <c r="Q249" s="27">
        <v>1</v>
      </c>
      <c r="R249" s="27">
        <f t="shared" si="241"/>
        <v>0</v>
      </c>
      <c r="S249" s="27">
        <f t="shared" si="242"/>
        <v>0</v>
      </c>
      <c r="T249" s="27">
        <f t="shared" si="243"/>
        <v>0</v>
      </c>
      <c r="U249" s="27">
        <f t="shared" si="244"/>
        <v>0</v>
      </c>
      <c r="V249" s="27">
        <f t="shared" si="245"/>
        <v>0</v>
      </c>
      <c r="W249" s="27">
        <f t="shared" si="246"/>
        <v>0</v>
      </c>
      <c r="X249" s="27">
        <f t="shared" si="247"/>
        <v>0</v>
      </c>
      <c r="Y249" s="27">
        <f t="shared" si="248"/>
        <v>0</v>
      </c>
      <c r="Z249" s="27">
        <f t="shared" si="249"/>
        <v>0</v>
      </c>
      <c r="AA249" s="27">
        <f t="shared" si="250"/>
        <v>0</v>
      </c>
      <c r="AB249" s="27">
        <f t="shared" si="251"/>
        <v>0</v>
      </c>
      <c r="AC249" s="27">
        <f t="shared" si="252"/>
        <v>0</v>
      </c>
      <c r="AD249" s="27">
        <f t="shared" si="253"/>
        <v>0</v>
      </c>
      <c r="AE249" s="27">
        <f t="shared" si="254"/>
        <v>0</v>
      </c>
      <c r="AF249" s="27">
        <f t="shared" si="255"/>
        <v>0</v>
      </c>
      <c r="AG249" s="27">
        <f t="shared" si="256"/>
        <v>0</v>
      </c>
      <c r="AH249" s="27">
        <f t="shared" si="257"/>
        <v>0</v>
      </c>
      <c r="AI249" s="27">
        <f t="shared" si="258"/>
        <v>0</v>
      </c>
      <c r="AJ249" s="27">
        <f t="shared" si="259"/>
        <v>0</v>
      </c>
      <c r="AK249" s="27">
        <f t="shared" si="260"/>
        <v>0</v>
      </c>
    </row>
    <row r="250" spans="1:38" ht="20.100000000000001" customHeight="1">
      <c r="A250" s="103" t="s">
        <v>23</v>
      </c>
      <c r="B250" s="103" t="s">
        <v>16</v>
      </c>
      <c r="C250" s="104" t="s">
        <v>17</v>
      </c>
      <c r="D250" s="105">
        <v>32</v>
      </c>
      <c r="E250" s="106"/>
      <c r="F250" s="106">
        <f t="shared" si="237"/>
        <v>0</v>
      </c>
      <c r="G250" s="106"/>
      <c r="H250" s="106">
        <f t="shared" si="238"/>
        <v>0</v>
      </c>
      <c r="I250" s="106"/>
      <c r="J250" s="106">
        <f t="shared" si="239"/>
        <v>0</v>
      </c>
      <c r="K250" s="106">
        <f t="shared" si="240"/>
        <v>0</v>
      </c>
      <c r="L250" s="106">
        <f t="shared" si="240"/>
        <v>0</v>
      </c>
      <c r="M250" s="130"/>
      <c r="O250" s="31" t="s">
        <v>457</v>
      </c>
      <c r="P250" s="31" t="s">
        <v>452</v>
      </c>
      <c r="Q250" s="27">
        <v>1</v>
      </c>
      <c r="R250" s="27">
        <f t="shared" si="241"/>
        <v>0</v>
      </c>
      <c r="S250" s="27">
        <f t="shared" si="242"/>
        <v>0</v>
      </c>
      <c r="T250" s="27">
        <f t="shared" si="243"/>
        <v>0</v>
      </c>
      <c r="U250" s="27">
        <f t="shared" si="244"/>
        <v>0</v>
      </c>
      <c r="V250" s="27">
        <f t="shared" si="245"/>
        <v>0</v>
      </c>
      <c r="W250" s="27">
        <f t="shared" si="246"/>
        <v>0</v>
      </c>
      <c r="X250" s="27">
        <f t="shared" si="247"/>
        <v>0</v>
      </c>
      <c r="Y250" s="27">
        <f t="shared" si="248"/>
        <v>0</v>
      </c>
      <c r="Z250" s="27">
        <f t="shared" si="249"/>
        <v>0</v>
      </c>
      <c r="AA250" s="27">
        <f t="shared" si="250"/>
        <v>0</v>
      </c>
      <c r="AB250" s="27">
        <f t="shared" si="251"/>
        <v>0</v>
      </c>
      <c r="AC250" s="27">
        <f t="shared" si="252"/>
        <v>0</v>
      </c>
      <c r="AD250" s="27">
        <f t="shared" si="253"/>
        <v>0</v>
      </c>
      <c r="AE250" s="27">
        <f t="shared" si="254"/>
        <v>0</v>
      </c>
      <c r="AF250" s="27">
        <f t="shared" si="255"/>
        <v>0</v>
      </c>
      <c r="AG250" s="27">
        <f t="shared" si="256"/>
        <v>0</v>
      </c>
      <c r="AH250" s="27">
        <f t="shared" si="257"/>
        <v>0</v>
      </c>
      <c r="AI250" s="27">
        <f t="shared" si="258"/>
        <v>0</v>
      </c>
      <c r="AJ250" s="27">
        <f t="shared" si="259"/>
        <v>0</v>
      </c>
      <c r="AK250" s="27">
        <f t="shared" si="260"/>
        <v>0</v>
      </c>
    </row>
    <row r="251" spans="1:38" ht="20.100000000000001" customHeight="1">
      <c r="A251" s="103" t="s">
        <v>23</v>
      </c>
      <c r="B251" s="103" t="s">
        <v>20</v>
      </c>
      <c r="C251" s="104" t="s">
        <v>17</v>
      </c>
      <c r="D251" s="105">
        <v>32</v>
      </c>
      <c r="E251" s="106"/>
      <c r="F251" s="106">
        <f t="shared" si="237"/>
        <v>0</v>
      </c>
      <c r="G251" s="106"/>
      <c r="H251" s="106">
        <f t="shared" si="238"/>
        <v>0</v>
      </c>
      <c r="I251" s="106"/>
      <c r="J251" s="106">
        <f t="shared" si="239"/>
        <v>0</v>
      </c>
      <c r="K251" s="106">
        <f t="shared" si="240"/>
        <v>0</v>
      </c>
      <c r="L251" s="106">
        <f t="shared" si="240"/>
        <v>0</v>
      </c>
      <c r="M251" s="130"/>
      <c r="O251" s="31" t="s">
        <v>457</v>
      </c>
      <c r="P251" s="31" t="s">
        <v>452</v>
      </c>
      <c r="Q251" s="27">
        <v>1</v>
      </c>
      <c r="R251" s="27">
        <f t="shared" si="241"/>
        <v>0</v>
      </c>
      <c r="S251" s="27">
        <f t="shared" si="242"/>
        <v>0</v>
      </c>
      <c r="T251" s="27">
        <f t="shared" si="243"/>
        <v>0</v>
      </c>
      <c r="U251" s="27">
        <f t="shared" si="244"/>
        <v>0</v>
      </c>
      <c r="V251" s="27">
        <f t="shared" si="245"/>
        <v>0</v>
      </c>
      <c r="W251" s="27">
        <f t="shared" si="246"/>
        <v>0</v>
      </c>
      <c r="X251" s="27">
        <f t="shared" si="247"/>
        <v>0</v>
      </c>
      <c r="Y251" s="27">
        <f t="shared" si="248"/>
        <v>0</v>
      </c>
      <c r="Z251" s="27">
        <f t="shared" si="249"/>
        <v>0</v>
      </c>
      <c r="AA251" s="27">
        <f t="shared" si="250"/>
        <v>0</v>
      </c>
      <c r="AB251" s="27">
        <f t="shared" si="251"/>
        <v>0</v>
      </c>
      <c r="AC251" s="27">
        <f t="shared" si="252"/>
        <v>0</v>
      </c>
      <c r="AD251" s="27">
        <f t="shared" si="253"/>
        <v>0</v>
      </c>
      <c r="AE251" s="27">
        <f t="shared" si="254"/>
        <v>0</v>
      </c>
      <c r="AF251" s="27">
        <f t="shared" si="255"/>
        <v>0</v>
      </c>
      <c r="AG251" s="27">
        <f t="shared" si="256"/>
        <v>0</v>
      </c>
      <c r="AH251" s="27">
        <f t="shared" si="257"/>
        <v>0</v>
      </c>
      <c r="AI251" s="27">
        <f t="shared" si="258"/>
        <v>0</v>
      </c>
      <c r="AJ251" s="27">
        <f t="shared" si="259"/>
        <v>0</v>
      </c>
      <c r="AK251" s="27">
        <f t="shared" si="260"/>
        <v>0</v>
      </c>
    </row>
    <row r="252" spans="1:38" ht="20.100000000000001" customHeight="1">
      <c r="A252" s="103" t="s">
        <v>38</v>
      </c>
      <c r="B252" s="103" t="s">
        <v>39</v>
      </c>
      <c r="C252" s="104" t="s">
        <v>34</v>
      </c>
      <c r="D252" s="105">
        <f>[1]공량산출서!F62</f>
        <v>40</v>
      </c>
      <c r="E252" s="106"/>
      <c r="F252" s="106">
        <f t="shared" si="237"/>
        <v>0</v>
      </c>
      <c r="G252" s="106"/>
      <c r="H252" s="106">
        <f t="shared" si="238"/>
        <v>0</v>
      </c>
      <c r="I252" s="106"/>
      <c r="J252" s="106">
        <f t="shared" si="239"/>
        <v>0</v>
      </c>
      <c r="K252" s="106">
        <f t="shared" si="240"/>
        <v>0</v>
      </c>
      <c r="L252" s="106">
        <f t="shared" si="240"/>
        <v>0</v>
      </c>
      <c r="M252" s="130"/>
      <c r="O252" s="31" t="s">
        <v>580</v>
      </c>
      <c r="P252" s="31" t="s">
        <v>452</v>
      </c>
      <c r="Q252" s="27">
        <v>1</v>
      </c>
      <c r="R252" s="27">
        <f t="shared" si="241"/>
        <v>0</v>
      </c>
      <c r="S252" s="27">
        <f t="shared" si="242"/>
        <v>0</v>
      </c>
      <c r="T252" s="27">
        <f t="shared" si="243"/>
        <v>0</v>
      </c>
      <c r="U252" s="27">
        <f t="shared" si="244"/>
        <v>0</v>
      </c>
      <c r="V252" s="27">
        <f t="shared" si="245"/>
        <v>0</v>
      </c>
      <c r="W252" s="27">
        <f t="shared" si="246"/>
        <v>0</v>
      </c>
      <c r="X252" s="27">
        <f t="shared" si="247"/>
        <v>0</v>
      </c>
      <c r="Y252" s="27">
        <f t="shared" si="248"/>
        <v>0</v>
      </c>
      <c r="Z252" s="27">
        <f t="shared" si="249"/>
        <v>0</v>
      </c>
      <c r="AA252" s="27">
        <f t="shared" si="250"/>
        <v>0</v>
      </c>
      <c r="AB252" s="27">
        <f t="shared" si="251"/>
        <v>0</v>
      </c>
      <c r="AC252" s="27">
        <f t="shared" si="252"/>
        <v>0</v>
      </c>
      <c r="AD252" s="27">
        <f t="shared" si="253"/>
        <v>0</v>
      </c>
      <c r="AE252" s="27">
        <f t="shared" si="254"/>
        <v>0</v>
      </c>
      <c r="AF252" s="27">
        <f t="shared" si="255"/>
        <v>0</v>
      </c>
      <c r="AG252" s="27">
        <f t="shared" si="256"/>
        <v>0</v>
      </c>
      <c r="AH252" s="27">
        <f t="shared" si="257"/>
        <v>0</v>
      </c>
      <c r="AI252" s="27">
        <f t="shared" si="258"/>
        <v>0</v>
      </c>
      <c r="AJ252" s="27">
        <f t="shared" si="259"/>
        <v>0</v>
      </c>
      <c r="AK252" s="27">
        <f t="shared" si="260"/>
        <v>0</v>
      </c>
    </row>
    <row r="253" spans="1:38" ht="20.100000000000001" customHeight="1">
      <c r="A253" s="103" t="s">
        <v>38</v>
      </c>
      <c r="B253" s="103" t="s">
        <v>44</v>
      </c>
      <c r="C253" s="104" t="s">
        <v>34</v>
      </c>
      <c r="D253" s="105">
        <f>[1]공량산출서!F64</f>
        <v>40</v>
      </c>
      <c r="E253" s="106"/>
      <c r="F253" s="106">
        <f t="shared" si="237"/>
        <v>0</v>
      </c>
      <c r="G253" s="106"/>
      <c r="H253" s="106">
        <f t="shared" si="238"/>
        <v>0</v>
      </c>
      <c r="I253" s="106"/>
      <c r="J253" s="106">
        <f t="shared" si="239"/>
        <v>0</v>
      </c>
      <c r="K253" s="106">
        <f t="shared" si="240"/>
        <v>0</v>
      </c>
      <c r="L253" s="106">
        <f t="shared" si="240"/>
        <v>0</v>
      </c>
      <c r="M253" s="130"/>
      <c r="O253" s="31" t="s">
        <v>580</v>
      </c>
      <c r="P253" s="31" t="s">
        <v>452</v>
      </c>
      <c r="Q253" s="27">
        <v>1</v>
      </c>
      <c r="R253" s="27">
        <f t="shared" si="241"/>
        <v>0</v>
      </c>
      <c r="S253" s="27">
        <f t="shared" si="242"/>
        <v>0</v>
      </c>
      <c r="T253" s="27">
        <f t="shared" si="243"/>
        <v>0</v>
      </c>
      <c r="U253" s="27">
        <f t="shared" si="244"/>
        <v>0</v>
      </c>
      <c r="V253" s="27">
        <f t="shared" si="245"/>
        <v>0</v>
      </c>
      <c r="W253" s="27">
        <f t="shared" si="246"/>
        <v>0</v>
      </c>
      <c r="X253" s="27">
        <f t="shared" si="247"/>
        <v>0</v>
      </c>
      <c r="Y253" s="27">
        <f t="shared" si="248"/>
        <v>0</v>
      </c>
      <c r="Z253" s="27">
        <f t="shared" si="249"/>
        <v>0</v>
      </c>
      <c r="AA253" s="27">
        <f t="shared" si="250"/>
        <v>0</v>
      </c>
      <c r="AB253" s="27">
        <f t="shared" si="251"/>
        <v>0</v>
      </c>
      <c r="AC253" s="27">
        <f t="shared" si="252"/>
        <v>0</v>
      </c>
      <c r="AD253" s="27">
        <f t="shared" si="253"/>
        <v>0</v>
      </c>
      <c r="AE253" s="27">
        <f t="shared" si="254"/>
        <v>0</v>
      </c>
      <c r="AF253" s="27">
        <f t="shared" si="255"/>
        <v>0</v>
      </c>
      <c r="AG253" s="27">
        <f t="shared" si="256"/>
        <v>0</v>
      </c>
      <c r="AH253" s="27">
        <f t="shared" si="257"/>
        <v>0</v>
      </c>
      <c r="AI253" s="27">
        <f t="shared" si="258"/>
        <v>0</v>
      </c>
      <c r="AJ253" s="27">
        <f t="shared" si="259"/>
        <v>0</v>
      </c>
      <c r="AK253" s="27">
        <f t="shared" si="260"/>
        <v>0</v>
      </c>
    </row>
    <row r="254" spans="1:38" ht="20.100000000000001" customHeight="1">
      <c r="A254" s="103" t="s">
        <v>847</v>
      </c>
      <c r="B254" s="103" t="str">
        <f>"관의 "&amp;N254*100&amp;"%"</f>
        <v>관의 2%</v>
      </c>
      <c r="C254" s="109" t="s">
        <v>459</v>
      </c>
      <c r="D254" s="110" t="s">
        <v>460</v>
      </c>
      <c r="E254" s="106"/>
      <c r="F254" s="106">
        <f>ROUNDDOWN(E254*N254,0)</f>
        <v>0</v>
      </c>
      <c r="G254" s="106"/>
      <c r="H254" s="106"/>
      <c r="I254" s="106"/>
      <c r="J254" s="106"/>
      <c r="K254" s="106">
        <f t="shared" si="240"/>
        <v>0</v>
      </c>
      <c r="L254" s="106">
        <f t="shared" si="240"/>
        <v>0</v>
      </c>
      <c r="M254" s="130"/>
      <c r="N254" s="32">
        <v>0.02</v>
      </c>
      <c r="P254" s="31" t="s">
        <v>452</v>
      </c>
      <c r="Q254" s="27">
        <v>1</v>
      </c>
      <c r="R254" s="27">
        <f t="shared" si="241"/>
        <v>0</v>
      </c>
      <c r="S254" s="27">
        <f t="shared" si="242"/>
        <v>0</v>
      </c>
      <c r="T254" s="27">
        <f t="shared" si="243"/>
        <v>0</v>
      </c>
      <c r="U254" s="27">
        <f t="shared" si="244"/>
        <v>0</v>
      </c>
      <c r="V254" s="27">
        <f t="shared" si="245"/>
        <v>0</v>
      </c>
      <c r="W254" s="27">
        <f t="shared" si="246"/>
        <v>0</v>
      </c>
      <c r="X254" s="27">
        <f t="shared" si="247"/>
        <v>0</v>
      </c>
      <c r="Y254" s="27">
        <f t="shared" si="248"/>
        <v>0</v>
      </c>
      <c r="Z254" s="27">
        <f t="shared" si="249"/>
        <v>0</v>
      </c>
      <c r="AA254" s="27">
        <f t="shared" si="250"/>
        <v>0</v>
      </c>
      <c r="AB254" s="27">
        <f t="shared" si="251"/>
        <v>0</v>
      </c>
      <c r="AC254" s="27">
        <f t="shared" si="252"/>
        <v>0</v>
      </c>
      <c r="AD254" s="27">
        <f t="shared" si="253"/>
        <v>0</v>
      </c>
      <c r="AE254" s="27">
        <f t="shared" si="254"/>
        <v>0</v>
      </c>
      <c r="AF254" s="27">
        <f t="shared" si="255"/>
        <v>0</v>
      </c>
      <c r="AG254" s="27">
        <f t="shared" si="256"/>
        <v>0</v>
      </c>
      <c r="AH254" s="27">
        <f t="shared" si="257"/>
        <v>0</v>
      </c>
      <c r="AI254" s="27">
        <f t="shared" si="258"/>
        <v>0</v>
      </c>
      <c r="AJ254" s="27">
        <f t="shared" si="259"/>
        <v>0</v>
      </c>
      <c r="AK254" s="27">
        <f t="shared" si="260"/>
        <v>0</v>
      </c>
    </row>
    <row r="255" spans="1:38" ht="20.100000000000001" customHeight="1">
      <c r="A255" s="103" t="s">
        <v>319</v>
      </c>
      <c r="B255" s="103" t="s">
        <v>39</v>
      </c>
      <c r="C255" s="104" t="s">
        <v>17</v>
      </c>
      <c r="D255" s="105">
        <v>40</v>
      </c>
      <c r="E255" s="106"/>
      <c r="F255" s="106">
        <f>ROUNDDOWN(D255*E255,0)</f>
        <v>0</v>
      </c>
      <c r="G255" s="106"/>
      <c r="H255" s="106">
        <f>ROUNDDOWN(D255*G255,0)</f>
        <v>0</v>
      </c>
      <c r="I255" s="106"/>
      <c r="J255" s="106">
        <f>ROUNDDOWN(D255*I255,0)</f>
        <v>0</v>
      </c>
      <c r="K255" s="106">
        <f t="shared" si="240"/>
        <v>0</v>
      </c>
      <c r="L255" s="106">
        <f t="shared" si="240"/>
        <v>0</v>
      </c>
      <c r="M255" s="130"/>
      <c r="O255" s="31" t="s">
        <v>457</v>
      </c>
      <c r="P255" s="31" t="s">
        <v>452</v>
      </c>
      <c r="Q255" s="27">
        <v>1</v>
      </c>
      <c r="R255" s="27">
        <f t="shared" si="241"/>
        <v>0</v>
      </c>
      <c r="S255" s="27">
        <f t="shared" si="242"/>
        <v>0</v>
      </c>
      <c r="T255" s="27">
        <f t="shared" si="243"/>
        <v>0</v>
      </c>
      <c r="U255" s="27">
        <f t="shared" si="244"/>
        <v>0</v>
      </c>
      <c r="V255" s="27">
        <f t="shared" si="245"/>
        <v>0</v>
      </c>
      <c r="W255" s="27">
        <f t="shared" si="246"/>
        <v>0</v>
      </c>
      <c r="X255" s="27">
        <f t="shared" si="247"/>
        <v>0</v>
      </c>
      <c r="Y255" s="27">
        <f t="shared" si="248"/>
        <v>0</v>
      </c>
      <c r="Z255" s="27">
        <f t="shared" si="249"/>
        <v>0</v>
      </c>
      <c r="AA255" s="27">
        <f t="shared" si="250"/>
        <v>0</v>
      </c>
      <c r="AB255" s="27">
        <f t="shared" si="251"/>
        <v>0</v>
      </c>
      <c r="AC255" s="27">
        <f t="shared" si="252"/>
        <v>0</v>
      </c>
      <c r="AD255" s="27">
        <f t="shared" si="253"/>
        <v>0</v>
      </c>
      <c r="AE255" s="27">
        <f t="shared" si="254"/>
        <v>0</v>
      </c>
      <c r="AF255" s="27">
        <f t="shared" si="255"/>
        <v>0</v>
      </c>
      <c r="AG255" s="27">
        <f t="shared" si="256"/>
        <v>0</v>
      </c>
      <c r="AH255" s="27">
        <f t="shared" si="257"/>
        <v>0</v>
      </c>
      <c r="AI255" s="27">
        <f t="shared" si="258"/>
        <v>0</v>
      </c>
      <c r="AJ255" s="27">
        <f t="shared" si="259"/>
        <v>0</v>
      </c>
      <c r="AK255" s="27">
        <f t="shared" si="260"/>
        <v>0</v>
      </c>
    </row>
    <row r="256" spans="1:38" ht="20.100000000000001" customHeight="1">
      <c r="A256" s="103" t="s">
        <v>319</v>
      </c>
      <c r="B256" s="103" t="s">
        <v>44</v>
      </c>
      <c r="C256" s="104" t="s">
        <v>17</v>
      </c>
      <c r="D256" s="105">
        <v>50</v>
      </c>
      <c r="E256" s="106"/>
      <c r="F256" s="106">
        <f>ROUNDDOWN(D256*E256,0)</f>
        <v>0</v>
      </c>
      <c r="G256" s="106"/>
      <c r="H256" s="106">
        <f>ROUNDDOWN(D256*G256,0)</f>
        <v>0</v>
      </c>
      <c r="I256" s="106"/>
      <c r="J256" s="106">
        <f>ROUNDDOWN(D256*I256,0)</f>
        <v>0</v>
      </c>
      <c r="K256" s="106">
        <f t="shared" si="240"/>
        <v>0</v>
      </c>
      <c r="L256" s="106">
        <f t="shared" si="240"/>
        <v>0</v>
      </c>
      <c r="M256" s="130"/>
      <c r="O256" s="31" t="s">
        <v>457</v>
      </c>
      <c r="P256" s="31" t="s">
        <v>452</v>
      </c>
      <c r="Q256" s="27">
        <v>1</v>
      </c>
      <c r="R256" s="27">
        <f t="shared" si="241"/>
        <v>0</v>
      </c>
      <c r="S256" s="27">
        <f t="shared" si="242"/>
        <v>0</v>
      </c>
      <c r="T256" s="27">
        <f t="shared" si="243"/>
        <v>0</v>
      </c>
      <c r="U256" s="27">
        <f t="shared" si="244"/>
        <v>0</v>
      </c>
      <c r="V256" s="27">
        <f t="shared" si="245"/>
        <v>0</v>
      </c>
      <c r="W256" s="27">
        <f t="shared" si="246"/>
        <v>0</v>
      </c>
      <c r="X256" s="27">
        <f t="shared" si="247"/>
        <v>0</v>
      </c>
      <c r="Y256" s="27">
        <f t="shared" si="248"/>
        <v>0</v>
      </c>
      <c r="Z256" s="27">
        <f t="shared" si="249"/>
        <v>0</v>
      </c>
      <c r="AA256" s="27">
        <f t="shared" si="250"/>
        <v>0</v>
      </c>
      <c r="AB256" s="27">
        <f t="shared" si="251"/>
        <v>0</v>
      </c>
      <c r="AC256" s="27">
        <f t="shared" si="252"/>
        <v>0</v>
      </c>
      <c r="AD256" s="27">
        <f t="shared" si="253"/>
        <v>0</v>
      </c>
      <c r="AE256" s="27">
        <f t="shared" si="254"/>
        <v>0</v>
      </c>
      <c r="AF256" s="27">
        <f t="shared" si="255"/>
        <v>0</v>
      </c>
      <c r="AG256" s="27">
        <f t="shared" si="256"/>
        <v>0</v>
      </c>
      <c r="AH256" s="27">
        <f t="shared" si="257"/>
        <v>0</v>
      </c>
      <c r="AI256" s="27">
        <f t="shared" si="258"/>
        <v>0</v>
      </c>
      <c r="AJ256" s="27">
        <f t="shared" si="259"/>
        <v>0</v>
      </c>
      <c r="AK256" s="27">
        <f t="shared" si="260"/>
        <v>0</v>
      </c>
    </row>
    <row r="257" spans="1:38" ht="20.100000000000001" customHeight="1">
      <c r="A257" s="103" t="s">
        <v>814</v>
      </c>
      <c r="B257" s="103" t="s">
        <v>713</v>
      </c>
      <c r="C257" s="104" t="s">
        <v>237</v>
      </c>
      <c r="D257" s="105">
        <v>12</v>
      </c>
      <c r="E257" s="106"/>
      <c r="F257" s="106">
        <f>ROUNDDOWN(D257*E257,0)</f>
        <v>0</v>
      </c>
      <c r="G257" s="106"/>
      <c r="H257" s="106">
        <f>ROUNDDOWN(D257*G257,0)</f>
        <v>0</v>
      </c>
      <c r="I257" s="106"/>
      <c r="J257" s="106">
        <f>ROUNDDOWN(D257*I257,0)</f>
        <v>0</v>
      </c>
      <c r="K257" s="106"/>
      <c r="L257" s="106">
        <f t="shared" si="240"/>
        <v>0</v>
      </c>
      <c r="M257" s="135"/>
      <c r="P257" s="31" t="s">
        <v>452</v>
      </c>
      <c r="Q257" s="27">
        <v>1</v>
      </c>
      <c r="R257" s="27">
        <f t="shared" si="241"/>
        <v>0</v>
      </c>
      <c r="S257" s="27">
        <f t="shared" si="242"/>
        <v>0</v>
      </c>
      <c r="T257" s="27">
        <f t="shared" si="243"/>
        <v>0</v>
      </c>
      <c r="U257" s="27">
        <f t="shared" si="244"/>
        <v>0</v>
      </c>
      <c r="V257" s="27">
        <f t="shared" si="245"/>
        <v>0</v>
      </c>
      <c r="W257" s="27">
        <f t="shared" si="246"/>
        <v>0</v>
      </c>
      <c r="X257" s="27">
        <f t="shared" si="247"/>
        <v>0</v>
      </c>
      <c r="Y257" s="27">
        <f t="shared" si="248"/>
        <v>0</v>
      </c>
      <c r="Z257" s="27">
        <f t="shared" si="249"/>
        <v>0</v>
      </c>
      <c r="AA257" s="27">
        <f t="shared" si="250"/>
        <v>0</v>
      </c>
      <c r="AB257" s="27">
        <f t="shared" si="251"/>
        <v>0</v>
      </c>
      <c r="AC257" s="27">
        <f t="shared" si="252"/>
        <v>0</v>
      </c>
      <c r="AD257" s="27">
        <f t="shared" si="253"/>
        <v>0</v>
      </c>
      <c r="AE257" s="27">
        <f t="shared" si="254"/>
        <v>0</v>
      </c>
      <c r="AF257" s="27">
        <f t="shared" si="255"/>
        <v>0</v>
      </c>
      <c r="AG257" s="27">
        <f t="shared" si="256"/>
        <v>0</v>
      </c>
      <c r="AH257" s="27">
        <f t="shared" si="257"/>
        <v>0</v>
      </c>
      <c r="AI257" s="27">
        <f t="shared" si="258"/>
        <v>0</v>
      </c>
      <c r="AJ257" s="27">
        <f t="shared" si="259"/>
        <v>0</v>
      </c>
      <c r="AK257" s="27">
        <f t="shared" si="260"/>
        <v>0</v>
      </c>
    </row>
    <row r="258" spans="1:38" ht="20.100000000000001" customHeight="1">
      <c r="A258" s="103" t="s">
        <v>348</v>
      </c>
      <c r="B258" s="103"/>
      <c r="C258" s="104" t="s">
        <v>339</v>
      </c>
      <c r="D258" s="105">
        <f>[1]공량산출서!J77</f>
        <v>3.9</v>
      </c>
      <c r="E258" s="106"/>
      <c r="F258" s="106">
        <f>ROUNDDOWN(D258*E258,0)</f>
        <v>0</v>
      </c>
      <c r="G258" s="106"/>
      <c r="H258" s="106">
        <f>ROUNDDOWN(D258*G258,0)</f>
        <v>0</v>
      </c>
      <c r="I258" s="106"/>
      <c r="J258" s="106">
        <f>ROUNDDOWN(D258*I258,0)</f>
        <v>0</v>
      </c>
      <c r="K258" s="106"/>
      <c r="L258" s="106"/>
      <c r="M258" s="130"/>
      <c r="O258" s="31" t="s">
        <v>462</v>
      </c>
      <c r="P258" s="31" t="s">
        <v>452</v>
      </c>
      <c r="Q258" s="27">
        <v>1</v>
      </c>
      <c r="R258" s="27">
        <f t="shared" si="241"/>
        <v>0</v>
      </c>
      <c r="S258" s="27">
        <f t="shared" si="242"/>
        <v>0</v>
      </c>
      <c r="T258" s="27">
        <f t="shared" si="243"/>
        <v>0</v>
      </c>
      <c r="U258" s="27">
        <f t="shared" si="244"/>
        <v>0</v>
      </c>
      <c r="V258" s="27">
        <f t="shared" si="245"/>
        <v>0</v>
      </c>
      <c r="W258" s="27">
        <f t="shared" si="246"/>
        <v>0</v>
      </c>
      <c r="X258" s="27">
        <f t="shared" si="247"/>
        <v>0</v>
      </c>
      <c r="Y258" s="27">
        <f t="shared" si="248"/>
        <v>0</v>
      </c>
      <c r="Z258" s="27">
        <f t="shared" si="249"/>
        <v>0</v>
      </c>
      <c r="AA258" s="27">
        <f t="shared" si="250"/>
        <v>0</v>
      </c>
      <c r="AB258" s="27">
        <f t="shared" si="251"/>
        <v>0</v>
      </c>
      <c r="AC258" s="27">
        <f t="shared" si="252"/>
        <v>0</v>
      </c>
      <c r="AD258" s="27">
        <f t="shared" si="253"/>
        <v>0</v>
      </c>
      <c r="AE258" s="27">
        <f t="shared" si="254"/>
        <v>0</v>
      </c>
      <c r="AF258" s="27">
        <f t="shared" si="255"/>
        <v>0</v>
      </c>
      <c r="AG258" s="27">
        <f t="shared" si="256"/>
        <v>0</v>
      </c>
      <c r="AH258" s="27">
        <f t="shared" si="257"/>
        <v>0</v>
      </c>
      <c r="AI258" s="27">
        <f t="shared" si="258"/>
        <v>0</v>
      </c>
      <c r="AJ258" s="27">
        <f t="shared" si="259"/>
        <v>0</v>
      </c>
      <c r="AK258" s="27">
        <f t="shared" si="260"/>
        <v>0</v>
      </c>
    </row>
    <row r="259" spans="1:38" ht="20.100000000000001" customHeight="1">
      <c r="A259" s="103" t="s">
        <v>352</v>
      </c>
      <c r="B259" s="103"/>
      <c r="C259" s="104" t="s">
        <v>339</v>
      </c>
      <c r="D259" s="105">
        <f>[1]공량산출서!H77</f>
        <v>2.1</v>
      </c>
      <c r="E259" s="106"/>
      <c r="F259" s="106">
        <f>ROUNDDOWN(D259*E259,0)</f>
        <v>0</v>
      </c>
      <c r="G259" s="106"/>
      <c r="H259" s="106">
        <f>ROUNDDOWN(D259*G259,0)</f>
        <v>0</v>
      </c>
      <c r="I259" s="106"/>
      <c r="J259" s="106">
        <f>ROUNDDOWN(D259*I259,0)</f>
        <v>0</v>
      </c>
      <c r="K259" s="106"/>
      <c r="L259" s="106">
        <f t="shared" si="240"/>
        <v>0</v>
      </c>
      <c r="M259" s="130"/>
      <c r="O259" s="31" t="s">
        <v>462</v>
      </c>
      <c r="P259" s="31" t="s">
        <v>452</v>
      </c>
      <c r="Q259" s="27">
        <v>1</v>
      </c>
      <c r="R259" s="27">
        <f t="shared" si="241"/>
        <v>0</v>
      </c>
      <c r="S259" s="27">
        <f t="shared" si="242"/>
        <v>0</v>
      </c>
      <c r="T259" s="27">
        <f t="shared" si="243"/>
        <v>0</v>
      </c>
      <c r="U259" s="27">
        <f t="shared" si="244"/>
        <v>0</v>
      </c>
      <c r="V259" s="27">
        <f t="shared" si="245"/>
        <v>0</v>
      </c>
      <c r="W259" s="27">
        <f t="shared" si="246"/>
        <v>0</v>
      </c>
      <c r="X259" s="27">
        <f t="shared" si="247"/>
        <v>0</v>
      </c>
      <c r="Y259" s="27">
        <f t="shared" si="248"/>
        <v>0</v>
      </c>
      <c r="Z259" s="27">
        <f t="shared" si="249"/>
        <v>0</v>
      </c>
      <c r="AA259" s="27">
        <f t="shared" si="250"/>
        <v>0</v>
      </c>
      <c r="AB259" s="27">
        <f t="shared" si="251"/>
        <v>0</v>
      </c>
      <c r="AC259" s="27">
        <f t="shared" si="252"/>
        <v>0</v>
      </c>
      <c r="AD259" s="27">
        <f t="shared" si="253"/>
        <v>0</v>
      </c>
      <c r="AE259" s="27">
        <f t="shared" si="254"/>
        <v>0</v>
      </c>
      <c r="AF259" s="27">
        <f t="shared" si="255"/>
        <v>0</v>
      </c>
      <c r="AG259" s="27">
        <f t="shared" si="256"/>
        <v>0</v>
      </c>
      <c r="AH259" s="27">
        <f t="shared" si="257"/>
        <v>0</v>
      </c>
      <c r="AI259" s="27">
        <f t="shared" si="258"/>
        <v>0</v>
      </c>
      <c r="AJ259" s="27">
        <f t="shared" si="259"/>
        <v>0</v>
      </c>
      <c r="AK259" s="27">
        <f t="shared" si="260"/>
        <v>0</v>
      </c>
    </row>
    <row r="260" spans="1:38" ht="20.100000000000001" customHeight="1">
      <c r="A260" s="103" t="s">
        <v>538</v>
      </c>
      <c r="B260" s="103" t="str">
        <f>"노무비의 "&amp;N260*100&amp;"%"</f>
        <v>노무비의 3%</v>
      </c>
      <c r="C260" s="109" t="s">
        <v>459</v>
      </c>
      <c r="D260" s="110" t="s">
        <v>460</v>
      </c>
      <c r="E260" s="106"/>
      <c r="F260" s="106">
        <f>ROUNDDOWN(E260*N260,0)</f>
        <v>0</v>
      </c>
      <c r="G260" s="106"/>
      <c r="H260" s="106"/>
      <c r="I260" s="106"/>
      <c r="J260" s="106"/>
      <c r="K260" s="106">
        <f t="shared" si="240"/>
        <v>0</v>
      </c>
      <c r="L260" s="106"/>
      <c r="M260" s="130"/>
      <c r="N260" s="32">
        <v>0.03</v>
      </c>
      <c r="P260" s="31" t="s">
        <v>452</v>
      </c>
      <c r="Q260" s="27">
        <v>1</v>
      </c>
      <c r="R260" s="27">
        <f t="shared" si="241"/>
        <v>0</v>
      </c>
      <c r="S260" s="27">
        <f t="shared" si="242"/>
        <v>0</v>
      </c>
      <c r="T260" s="27">
        <f t="shared" si="243"/>
        <v>0</v>
      </c>
      <c r="U260" s="27">
        <f t="shared" si="244"/>
        <v>0</v>
      </c>
      <c r="V260" s="27">
        <f t="shared" si="245"/>
        <v>0</v>
      </c>
      <c r="W260" s="27">
        <f t="shared" si="246"/>
        <v>0</v>
      </c>
      <c r="X260" s="27">
        <f t="shared" si="247"/>
        <v>0</v>
      </c>
      <c r="Y260" s="27">
        <f t="shared" si="248"/>
        <v>0</v>
      </c>
      <c r="Z260" s="27">
        <f t="shared" si="249"/>
        <v>0</v>
      </c>
      <c r="AA260" s="27">
        <f t="shared" si="250"/>
        <v>0</v>
      </c>
      <c r="AB260" s="27">
        <f t="shared" si="251"/>
        <v>0</v>
      </c>
      <c r="AC260" s="27">
        <f t="shared" si="252"/>
        <v>0</v>
      </c>
      <c r="AD260" s="27">
        <f t="shared" si="253"/>
        <v>0</v>
      </c>
      <c r="AE260" s="27">
        <f t="shared" si="254"/>
        <v>0</v>
      </c>
      <c r="AF260" s="27">
        <f t="shared" si="255"/>
        <v>0</v>
      </c>
      <c r="AG260" s="27">
        <f t="shared" si="256"/>
        <v>0</v>
      </c>
      <c r="AH260" s="27">
        <f t="shared" si="257"/>
        <v>0</v>
      </c>
      <c r="AI260" s="27">
        <f t="shared" si="258"/>
        <v>0</v>
      </c>
      <c r="AJ260" s="27">
        <f t="shared" si="259"/>
        <v>0</v>
      </c>
      <c r="AK260" s="27">
        <f t="shared" si="260"/>
        <v>0</v>
      </c>
    </row>
    <row r="261" spans="1:38" ht="20.100000000000001" customHeight="1">
      <c r="A261" s="103"/>
      <c r="B261" s="103"/>
      <c r="C261" s="104"/>
      <c r="D261" s="107"/>
      <c r="E261" s="107"/>
      <c r="F261" s="107"/>
      <c r="G261" s="107"/>
      <c r="H261" s="107"/>
      <c r="I261" s="107"/>
      <c r="J261" s="107"/>
      <c r="K261" s="107"/>
      <c r="L261" s="107"/>
      <c r="M261" s="130"/>
    </row>
    <row r="262" spans="1:38" ht="20.100000000000001" customHeight="1">
      <c r="A262" s="103"/>
      <c r="B262" s="103"/>
      <c r="C262" s="104"/>
      <c r="D262" s="107"/>
      <c r="E262" s="107"/>
      <c r="F262" s="107"/>
      <c r="G262" s="107"/>
      <c r="H262" s="107"/>
      <c r="I262" s="107"/>
      <c r="J262" s="107"/>
      <c r="K262" s="107"/>
      <c r="L262" s="107"/>
      <c r="M262" s="130"/>
    </row>
    <row r="263" spans="1:38" ht="20.100000000000001" customHeight="1">
      <c r="A263" s="103"/>
      <c r="B263" s="103"/>
      <c r="C263" s="104"/>
      <c r="D263" s="107"/>
      <c r="E263" s="107"/>
      <c r="F263" s="107"/>
      <c r="G263" s="107"/>
      <c r="H263" s="107"/>
      <c r="I263" s="107"/>
      <c r="J263" s="107"/>
      <c r="K263" s="107"/>
      <c r="L263" s="107"/>
      <c r="M263" s="130"/>
    </row>
    <row r="264" spans="1:38" ht="20.100000000000001" customHeight="1">
      <c r="A264" s="103"/>
      <c r="B264" s="103"/>
      <c r="C264" s="104"/>
      <c r="D264" s="107"/>
      <c r="E264" s="107"/>
      <c r="F264" s="107"/>
      <c r="G264" s="107"/>
      <c r="H264" s="107"/>
      <c r="I264" s="107"/>
      <c r="J264" s="107"/>
      <c r="K264" s="107"/>
      <c r="L264" s="107"/>
      <c r="M264" s="130"/>
    </row>
    <row r="265" spans="1:38" ht="20.100000000000001" customHeight="1">
      <c r="A265" s="136" t="s">
        <v>930</v>
      </c>
      <c r="B265" s="119"/>
      <c r="C265" s="120"/>
      <c r="D265" s="121"/>
      <c r="E265" s="122"/>
      <c r="F265" s="122">
        <f>SUMIF($Q$246:$Q$264, 1,$F$246:$F$264)</f>
        <v>0</v>
      </c>
      <c r="G265" s="122"/>
      <c r="H265" s="122">
        <f>SUMIF($Q$246:$Q$264, 1,$H$246:$H$264)</f>
        <v>0</v>
      </c>
      <c r="I265" s="122"/>
      <c r="J265" s="122">
        <f>SUMIF($Q$246:$Q$264, 1,$J$246:$J$264)</f>
        <v>0</v>
      </c>
      <c r="K265" s="122"/>
      <c r="L265" s="122">
        <f>F265+H265+J265</f>
        <v>0</v>
      </c>
      <c r="M265" s="137"/>
      <c r="R265" s="27">
        <f>SUM($R$246:$R$264)</f>
        <v>0</v>
      </c>
      <c r="S265" s="27">
        <f>SUM($S$246:$S$264)</f>
        <v>0</v>
      </c>
      <c r="T265" s="27">
        <f>SUM($T$246:$T$264)</f>
        <v>0</v>
      </c>
      <c r="U265" s="27">
        <f>SUM($U$246:$U$264)</f>
        <v>0</v>
      </c>
      <c r="V265" s="27">
        <f>SUM($V$246:$V$264)</f>
        <v>0</v>
      </c>
      <c r="W265" s="27">
        <f>SUM($W$246:$W$264)</f>
        <v>0</v>
      </c>
      <c r="X265" s="27">
        <f>SUM($X$246:$X$264)</f>
        <v>0</v>
      </c>
      <c r="Y265" s="27">
        <f>SUM($Y$246:$Y$264)</f>
        <v>0</v>
      </c>
      <c r="Z265" s="27">
        <f>SUM($Z$246:$Z$264)</f>
        <v>0</v>
      </c>
      <c r="AA265" s="27">
        <f>SUM($AA$246:$AA$264)</f>
        <v>0</v>
      </c>
      <c r="AB265" s="27">
        <f>SUM($AB$246:$AB$264)</f>
        <v>0</v>
      </c>
      <c r="AC265" s="27">
        <f>SUM($AC$246:$AC$264)</f>
        <v>0</v>
      </c>
      <c r="AD265" s="27">
        <f>SUM($AD$246:$AD$264)</f>
        <v>0</v>
      </c>
      <c r="AE265" s="27">
        <f>SUM($AE$246:$AE$264)</f>
        <v>0</v>
      </c>
      <c r="AF265" s="27">
        <f>SUM($AF$246:$AF$264)</f>
        <v>0</v>
      </c>
      <c r="AG265" s="27">
        <f>SUM($AG$246:$AG$264)</f>
        <v>0</v>
      </c>
      <c r="AH265" s="27">
        <f>SUM($AH$246:$AH$264)</f>
        <v>0</v>
      </c>
      <c r="AI265" s="27">
        <f>SUM($AI$246:$AI$264)</f>
        <v>0</v>
      </c>
      <c r="AJ265" s="27">
        <f>SUM($AJ$246:$AJ$264)</f>
        <v>0</v>
      </c>
      <c r="AK265" s="27">
        <f>SUM($AK$246:$AK$264)</f>
        <v>0</v>
      </c>
      <c r="AL265" s="27">
        <f>SUM($AL$246:$AL$264)</f>
        <v>0</v>
      </c>
    </row>
    <row r="266" spans="1:38" ht="20.100000000000001" customHeight="1">
      <c r="A266" s="64" t="s">
        <v>848</v>
      </c>
      <c r="B266" s="63"/>
      <c r="C266" s="63"/>
      <c r="D266" s="63"/>
      <c r="E266" s="63"/>
      <c r="F266" s="63"/>
      <c r="G266" s="63"/>
      <c r="H266" s="63"/>
      <c r="I266" s="63"/>
      <c r="J266" s="63"/>
      <c r="K266" s="63"/>
      <c r="L266" s="63"/>
      <c r="M266" s="118"/>
    </row>
    <row r="267" spans="1:38" ht="20.100000000000001" customHeight="1">
      <c r="A267" s="103" t="s">
        <v>376</v>
      </c>
      <c r="B267" s="103" t="s">
        <v>377</v>
      </c>
      <c r="C267" s="104" t="s">
        <v>378</v>
      </c>
      <c r="D267" s="105">
        <v>31.64</v>
      </c>
      <c r="E267" s="106"/>
      <c r="F267" s="106">
        <f>ROUNDDOWN(D267*E267,0)</f>
        <v>0</v>
      </c>
      <c r="G267" s="106"/>
      <c r="H267" s="106">
        <f>ROUNDDOWN(D267*G267,0)</f>
        <v>0</v>
      </c>
      <c r="I267" s="106"/>
      <c r="J267" s="106">
        <f>ROUNDDOWN(D267*I267,0)</f>
        <v>0</v>
      </c>
      <c r="K267" s="106">
        <f t="shared" ref="K267:L269" si="261">E267+G267+I267</f>
        <v>0</v>
      </c>
      <c r="L267" s="106">
        <f t="shared" si="261"/>
        <v>0</v>
      </c>
      <c r="M267" s="107"/>
      <c r="O267" s="31" t="s">
        <v>451</v>
      </c>
      <c r="P267" s="31" t="s">
        <v>823</v>
      </c>
      <c r="Q267" s="27">
        <v>1</v>
      </c>
      <c r="R267" s="27">
        <f>IF(P267="기계경비",J267,0)</f>
        <v>0</v>
      </c>
      <c r="S267" s="27">
        <f>IF(P267="운반비",J267,0)</f>
        <v>0</v>
      </c>
      <c r="T267" s="27">
        <f>IF(P267="작업부산물",F267,0)</f>
        <v>0</v>
      </c>
      <c r="U267" s="27">
        <f>IF(P267="관급",ROUNDDOWN(D267*E267,0),0)+IF(P267="지급",ROUNDDOWN(D267*E267,0),0)</f>
        <v>0</v>
      </c>
      <c r="V267" s="27">
        <f>IF(P267="외주비",F267+H267+J267,0)</f>
        <v>0</v>
      </c>
      <c r="W267" s="27">
        <f>IF(P267="장비비",F267+H267+J267,0)</f>
        <v>0</v>
      </c>
      <c r="X267" s="27">
        <f>IF(P267="폐기물처리비",L267,0)</f>
        <v>0</v>
      </c>
      <c r="Y267" s="27">
        <f>IF(P267="가설비",J267,0)</f>
        <v>0</v>
      </c>
      <c r="Z267" s="27">
        <f>IF(P267="잡비제외분",F267,0)</f>
        <v>0</v>
      </c>
      <c r="AA267" s="27">
        <f>IF(P267="사급자재대",L267,0)</f>
        <v>0</v>
      </c>
      <c r="AB267" s="27">
        <f>IF(P267="관급자재대",L267,0)</f>
        <v>0</v>
      </c>
      <c r="AC267" s="27">
        <f>IF(P267="사용자항목1",L267,0)</f>
        <v>0</v>
      </c>
      <c r="AD267" s="27">
        <f>IF(P267="사용자항목2",L267,0)</f>
        <v>0</v>
      </c>
      <c r="AE267" s="27">
        <f>IF(P267="사용자항목3",L267,0)</f>
        <v>0</v>
      </c>
      <c r="AF267" s="27">
        <f>IF(P267="사용자항목4",L267,0)</f>
        <v>0</v>
      </c>
      <c r="AG267" s="27">
        <f>IF(P267="사용자항목5",L267,0)</f>
        <v>0</v>
      </c>
      <c r="AH267" s="27">
        <f>IF(P267="사용자항목6",L267,0)</f>
        <v>0</v>
      </c>
      <c r="AI267" s="27">
        <f>IF(P267="사용자항목7",L267,0)</f>
        <v>0</v>
      </c>
      <c r="AJ267" s="27">
        <f>IF(P267="사용자항목8",L267,0)</f>
        <v>0</v>
      </c>
      <c r="AK267" s="27">
        <f>IF(P267="사용자항목9",L267,0)</f>
        <v>0</v>
      </c>
    </row>
    <row r="268" spans="1:38" ht="20.100000000000001" customHeight="1">
      <c r="A268" s="103" t="s">
        <v>938</v>
      </c>
      <c r="B268" s="103" t="s">
        <v>937</v>
      </c>
      <c r="C268" s="104" t="s">
        <v>506</v>
      </c>
      <c r="D268" s="105">
        <v>31.64</v>
      </c>
      <c r="E268" s="106"/>
      <c r="F268" s="106">
        <f>ROUNDDOWN(D268*E268,0)</f>
        <v>0</v>
      </c>
      <c r="G268" s="106"/>
      <c r="H268" s="106">
        <f>ROUNDDOWN(D268*G268,0)</f>
        <v>0</v>
      </c>
      <c r="I268" s="106"/>
      <c r="J268" s="106">
        <f>ROUNDDOWN(D268*I268,0)</f>
        <v>0</v>
      </c>
      <c r="K268" s="106">
        <f t="shared" si="261"/>
        <v>0</v>
      </c>
      <c r="L268" s="106">
        <f t="shared" si="261"/>
        <v>0</v>
      </c>
      <c r="M268" s="108"/>
      <c r="P268" s="31" t="s">
        <v>823</v>
      </c>
      <c r="Q268" s="27">
        <v>1</v>
      </c>
      <c r="R268" s="27">
        <f>IF(P268="기계경비",J268,0)</f>
        <v>0</v>
      </c>
      <c r="S268" s="27">
        <f>IF(P268="운반비",J268,0)</f>
        <v>0</v>
      </c>
      <c r="T268" s="27">
        <f>IF(P268="작업부산물",F268,0)</f>
        <v>0</v>
      </c>
      <c r="U268" s="27">
        <f>IF(P268="관급",ROUNDDOWN(D268*E268,0),0)+IF(P268="지급",ROUNDDOWN(D268*E268,0),0)</f>
        <v>0</v>
      </c>
      <c r="V268" s="27">
        <f>IF(P268="외주비",F268+H268+J268,0)</f>
        <v>0</v>
      </c>
      <c r="W268" s="27">
        <f>IF(P268="장비비",F268+H268+J268,0)</f>
        <v>0</v>
      </c>
      <c r="X268" s="27">
        <f>IF(P268="폐기물처리비",L268,0)</f>
        <v>0</v>
      </c>
      <c r="Y268" s="27">
        <f>IF(P268="가설비",J268,0)</f>
        <v>0</v>
      </c>
      <c r="Z268" s="27">
        <f>IF(P268="잡비제외분",F268,0)</f>
        <v>0</v>
      </c>
      <c r="AA268" s="27">
        <f>IF(P268="사급자재대",L268,0)</f>
        <v>0</v>
      </c>
      <c r="AB268" s="27">
        <f>IF(P268="관급자재대",L268,0)</f>
        <v>0</v>
      </c>
      <c r="AC268" s="27">
        <f>IF(P268="사용자항목1",L268,0)</f>
        <v>0</v>
      </c>
      <c r="AD268" s="27">
        <f>IF(P268="사용자항목2",L268,0)</f>
        <v>0</v>
      </c>
      <c r="AE268" s="27">
        <f>IF(P268="사용자항목3",L268,0)</f>
        <v>0</v>
      </c>
      <c r="AF268" s="27">
        <f>IF(P268="사용자항목4",L268,0)</f>
        <v>0</v>
      </c>
      <c r="AG268" s="27">
        <f>IF(P268="사용자항목5",L268,0)</f>
        <v>0</v>
      </c>
      <c r="AH268" s="27">
        <f>IF(P268="사용자항목6",L268,0)</f>
        <v>0</v>
      </c>
      <c r="AI268" s="27">
        <f>IF(P268="사용자항목7",L268,0)</f>
        <v>0</v>
      </c>
      <c r="AJ268" s="27">
        <f>IF(P268="사용자항목8",L268,0)</f>
        <v>0</v>
      </c>
      <c r="AK268" s="27">
        <f>IF(P268="사용자항목9",L268,0)</f>
        <v>0</v>
      </c>
    </row>
    <row r="269" spans="1:38" ht="20.100000000000001" customHeight="1">
      <c r="A269" s="103" t="s">
        <v>939</v>
      </c>
      <c r="B269" s="103" t="s">
        <v>940</v>
      </c>
      <c r="C269" s="104" t="s">
        <v>506</v>
      </c>
      <c r="D269" s="105">
        <v>31.64</v>
      </c>
      <c r="E269" s="106">
        <f>일위대가목록!G6</f>
        <v>0</v>
      </c>
      <c r="F269" s="106">
        <f>ROUNDDOWN(D269*E269,0)</f>
        <v>0</v>
      </c>
      <c r="G269" s="106"/>
      <c r="H269" s="106">
        <f>ROUNDDOWN(D269*G269,0)</f>
        <v>0</v>
      </c>
      <c r="I269" s="106">
        <f>ROUNDDOWN(단가산출서목록!K6,0)</f>
        <v>0</v>
      </c>
      <c r="J269" s="106">
        <f>ROUNDDOWN(D269*I269,0)</f>
        <v>0</v>
      </c>
      <c r="K269" s="106">
        <f t="shared" si="261"/>
        <v>0</v>
      </c>
      <c r="L269" s="106">
        <f t="shared" si="261"/>
        <v>0</v>
      </c>
      <c r="M269" s="107"/>
    </row>
    <row r="270" spans="1:38" ht="20.100000000000001" customHeight="1">
      <c r="A270" s="103"/>
      <c r="B270" s="103"/>
      <c r="C270" s="104"/>
      <c r="D270" s="107"/>
      <c r="E270" s="107"/>
      <c r="F270" s="107"/>
      <c r="G270" s="107"/>
      <c r="H270" s="107"/>
      <c r="I270" s="107"/>
      <c r="J270" s="107"/>
      <c r="K270" s="107"/>
      <c r="L270" s="107"/>
      <c r="M270" s="107"/>
    </row>
    <row r="271" spans="1:38" ht="20.100000000000001" customHeight="1">
      <c r="A271" s="103"/>
      <c r="B271" s="103"/>
      <c r="C271" s="104"/>
      <c r="D271" s="107"/>
      <c r="E271" s="107"/>
      <c r="F271" s="107"/>
      <c r="G271" s="107"/>
      <c r="H271" s="107"/>
      <c r="I271" s="107"/>
      <c r="J271" s="107"/>
      <c r="K271" s="107"/>
      <c r="L271" s="107"/>
      <c r="M271" s="107"/>
    </row>
    <row r="272" spans="1:38" ht="20.100000000000001" customHeight="1">
      <c r="A272" s="103"/>
      <c r="B272" s="103"/>
      <c r="C272" s="104"/>
      <c r="D272" s="107"/>
      <c r="E272" s="107"/>
      <c r="F272" s="107"/>
      <c r="G272" s="107"/>
      <c r="H272" s="107"/>
      <c r="I272" s="107"/>
      <c r="J272" s="107"/>
      <c r="K272" s="107"/>
      <c r="L272" s="107"/>
      <c r="M272" s="107"/>
    </row>
    <row r="273" spans="1:38" ht="20.100000000000001" customHeight="1">
      <c r="A273" s="103"/>
      <c r="B273" s="103"/>
      <c r="C273" s="104"/>
      <c r="D273" s="107"/>
      <c r="E273" s="107"/>
      <c r="F273" s="107"/>
      <c r="G273" s="107"/>
      <c r="H273" s="107"/>
      <c r="I273" s="107"/>
      <c r="J273" s="107"/>
      <c r="K273" s="107"/>
      <c r="L273" s="107"/>
      <c r="M273" s="107"/>
    </row>
    <row r="274" spans="1:38" ht="20.100000000000001" customHeight="1">
      <c r="A274" s="103"/>
      <c r="B274" s="103"/>
      <c r="C274" s="104"/>
      <c r="D274" s="107"/>
      <c r="E274" s="107"/>
      <c r="F274" s="107"/>
      <c r="G274" s="107"/>
      <c r="H274" s="107"/>
      <c r="I274" s="107"/>
      <c r="J274" s="107"/>
      <c r="K274" s="107"/>
      <c r="L274" s="107"/>
      <c r="M274" s="107"/>
    </row>
    <row r="275" spans="1:38" ht="20.100000000000001" customHeight="1">
      <c r="A275" s="103"/>
      <c r="B275" s="103"/>
      <c r="C275" s="104"/>
      <c r="D275" s="107"/>
      <c r="E275" s="107"/>
      <c r="F275" s="107"/>
      <c r="G275" s="107"/>
      <c r="H275" s="107"/>
      <c r="I275" s="107"/>
      <c r="J275" s="107"/>
      <c r="K275" s="107"/>
      <c r="L275" s="107"/>
      <c r="M275" s="107"/>
    </row>
    <row r="276" spans="1:38" ht="20.100000000000001" customHeight="1">
      <c r="A276" s="103"/>
      <c r="B276" s="103"/>
      <c r="C276" s="104"/>
      <c r="D276" s="107"/>
      <c r="E276" s="107"/>
      <c r="F276" s="107"/>
      <c r="G276" s="107"/>
      <c r="H276" s="107"/>
      <c r="I276" s="107"/>
      <c r="J276" s="107"/>
      <c r="K276" s="107"/>
      <c r="L276" s="107"/>
      <c r="M276" s="107"/>
    </row>
    <row r="277" spans="1:38" ht="20.100000000000001" customHeight="1">
      <c r="A277" s="103"/>
      <c r="B277" s="103"/>
      <c r="C277" s="104"/>
      <c r="D277" s="107"/>
      <c r="E277" s="107"/>
      <c r="F277" s="107"/>
      <c r="G277" s="107"/>
      <c r="H277" s="107"/>
      <c r="I277" s="107"/>
      <c r="J277" s="107"/>
      <c r="K277" s="107"/>
      <c r="L277" s="107"/>
      <c r="M277" s="107"/>
    </row>
    <row r="278" spans="1:38" ht="20.100000000000001" customHeight="1">
      <c r="A278" s="103"/>
      <c r="B278" s="103"/>
      <c r="C278" s="104"/>
      <c r="D278" s="107"/>
      <c r="E278" s="107"/>
      <c r="F278" s="107"/>
      <c r="G278" s="107"/>
      <c r="H278" s="107"/>
      <c r="I278" s="107"/>
      <c r="J278" s="107"/>
      <c r="K278" s="107"/>
      <c r="L278" s="107"/>
      <c r="M278" s="107"/>
    </row>
    <row r="279" spans="1:38" ht="20.100000000000001" customHeight="1">
      <c r="A279" s="103"/>
      <c r="B279" s="103"/>
      <c r="C279" s="104"/>
      <c r="D279" s="107"/>
      <c r="E279" s="107"/>
      <c r="F279" s="107"/>
      <c r="G279" s="107"/>
      <c r="H279" s="107"/>
      <c r="I279" s="107"/>
      <c r="J279" s="107"/>
      <c r="K279" s="107"/>
      <c r="L279" s="107"/>
      <c r="M279" s="107"/>
    </row>
    <row r="280" spans="1:38" ht="20.100000000000001" customHeight="1">
      <c r="A280" s="103"/>
      <c r="B280" s="103"/>
      <c r="C280" s="104"/>
      <c r="D280" s="107"/>
      <c r="E280" s="107"/>
      <c r="F280" s="107"/>
      <c r="G280" s="107"/>
      <c r="H280" s="107"/>
      <c r="I280" s="107"/>
      <c r="J280" s="107"/>
      <c r="K280" s="107"/>
      <c r="L280" s="107"/>
      <c r="M280" s="107"/>
    </row>
    <row r="281" spans="1:38" ht="20.100000000000001" customHeight="1">
      <c r="A281" s="103"/>
      <c r="B281" s="103"/>
      <c r="C281" s="104"/>
      <c r="D281" s="107"/>
      <c r="E281" s="107"/>
      <c r="F281" s="107"/>
      <c r="G281" s="107"/>
      <c r="H281" s="107"/>
      <c r="I281" s="107"/>
      <c r="J281" s="107"/>
      <c r="K281" s="107"/>
      <c r="L281" s="107"/>
      <c r="M281" s="107"/>
    </row>
    <row r="282" spans="1:38" ht="20.100000000000001" customHeight="1">
      <c r="A282" s="103"/>
      <c r="B282" s="103"/>
      <c r="C282" s="104"/>
      <c r="D282" s="107"/>
      <c r="E282" s="107"/>
      <c r="F282" s="107"/>
      <c r="G282" s="107"/>
      <c r="H282" s="107"/>
      <c r="I282" s="107"/>
      <c r="J282" s="107"/>
      <c r="K282" s="107"/>
      <c r="L282" s="107"/>
      <c r="M282" s="107"/>
    </row>
    <row r="283" spans="1:38" ht="20.100000000000001" customHeight="1">
      <c r="A283" s="103"/>
      <c r="B283" s="103"/>
      <c r="C283" s="104"/>
      <c r="D283" s="107"/>
      <c r="E283" s="107"/>
      <c r="F283" s="107"/>
      <c r="G283" s="107"/>
      <c r="H283" s="107"/>
      <c r="I283" s="107"/>
      <c r="J283" s="107"/>
      <c r="K283" s="107"/>
      <c r="L283" s="107"/>
      <c r="M283" s="107"/>
    </row>
    <row r="284" spans="1:38" ht="20.100000000000001" customHeight="1">
      <c r="A284" s="103"/>
      <c r="B284" s="103"/>
      <c r="C284" s="104"/>
      <c r="D284" s="107"/>
      <c r="E284" s="107"/>
      <c r="F284" s="107"/>
      <c r="G284" s="107"/>
      <c r="H284" s="107"/>
      <c r="I284" s="107"/>
      <c r="J284" s="107"/>
      <c r="K284" s="107"/>
      <c r="L284" s="107"/>
      <c r="M284" s="107"/>
    </row>
    <row r="285" spans="1:38" ht="20.100000000000001" customHeight="1">
      <c r="A285" s="124" t="s">
        <v>930</v>
      </c>
      <c r="B285" s="119"/>
      <c r="C285" s="120"/>
      <c r="D285" s="121"/>
      <c r="E285" s="122"/>
      <c r="F285" s="122">
        <f>F267+F268+F269</f>
        <v>0</v>
      </c>
      <c r="G285" s="122"/>
      <c r="H285" s="122">
        <f>H267+H268+H269</f>
        <v>0</v>
      </c>
      <c r="I285" s="122"/>
      <c r="J285" s="122">
        <f>J267+J268+J269</f>
        <v>0</v>
      </c>
      <c r="K285" s="122"/>
      <c r="L285" s="122">
        <f>L267+L268+L269</f>
        <v>0</v>
      </c>
      <c r="M285" s="121"/>
      <c r="R285" s="27">
        <f>SUM($R$266:$R$284)</f>
        <v>0</v>
      </c>
      <c r="S285" s="27">
        <f>SUM($S$266:$S$284)</f>
        <v>0</v>
      </c>
      <c r="T285" s="27">
        <f>SUM($T$266:$T$284)</f>
        <v>0</v>
      </c>
      <c r="U285" s="27">
        <f>SUM($U$266:$U$284)</f>
        <v>0</v>
      </c>
      <c r="V285" s="27">
        <f>SUM($V$266:$V$284)</f>
        <v>0</v>
      </c>
      <c r="W285" s="27">
        <f>SUM($W$266:$W$284)</f>
        <v>0</v>
      </c>
      <c r="X285" s="27">
        <f>SUM($X$266:$X$284)</f>
        <v>0</v>
      </c>
      <c r="Y285" s="27">
        <f>SUM($Y$266:$Y$284)</f>
        <v>0</v>
      </c>
      <c r="Z285" s="27">
        <f>SUM($Z$266:$Z$284)</f>
        <v>0</v>
      </c>
      <c r="AA285" s="27">
        <f>SUM($AA$266:$AA$284)</f>
        <v>0</v>
      </c>
      <c r="AB285" s="27">
        <f>SUM($AB$266:$AB$284)</f>
        <v>0</v>
      </c>
      <c r="AC285" s="27">
        <f>SUM($AC$266:$AC$284)</f>
        <v>0</v>
      </c>
      <c r="AD285" s="27">
        <f>SUM($AD$266:$AD$284)</f>
        <v>0</v>
      </c>
      <c r="AE285" s="27">
        <f>SUM($AE$266:$AE$284)</f>
        <v>0</v>
      </c>
      <c r="AF285" s="27">
        <f>SUM($AF$266:$AF$284)</f>
        <v>0</v>
      </c>
      <c r="AG285" s="27">
        <f>SUM($AG$266:$AG$284)</f>
        <v>0</v>
      </c>
      <c r="AH285" s="27">
        <f>SUM($AH$266:$AH$284)</f>
        <v>0</v>
      </c>
      <c r="AI285" s="27">
        <f>SUM($AI$266:$AI$284)</f>
        <v>0</v>
      </c>
      <c r="AJ285" s="27">
        <f>SUM($AJ$266:$AJ$284)</f>
        <v>0</v>
      </c>
      <c r="AK285" s="27">
        <f>SUM($AK$266:$AK$284)</f>
        <v>0</v>
      </c>
      <c r="AL285" s="27">
        <f>SUM($AL$266:$AL$284)</f>
        <v>0</v>
      </c>
    </row>
    <row r="286" spans="1:38" customFormat="1" ht="20.100000000000001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</row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3" type="noConversion"/>
  <pageMargins left="0.74803149606299213" right="0.19685039370078738" top="0.74803149606299213" bottom="0.55118110236220463" header="0.51181102362204722" footer="0.31496062992125989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19D86"/>
  </sheetPr>
  <dimension ref="A1:R79"/>
  <sheetViews>
    <sheetView view="pageBreakPreview" zoomScale="115" zoomScaleSheetLayoutView="115" workbookViewId="0">
      <selection activeCell="B8" sqref="B8"/>
    </sheetView>
  </sheetViews>
  <sheetFormatPr defaultRowHeight="10.5"/>
  <cols>
    <col min="1" max="1" width="5.625" style="28" customWidth="1"/>
    <col min="2" max="2" width="18.625" style="27" customWidth="1"/>
    <col min="3" max="3" width="15.625" style="27" customWidth="1"/>
    <col min="4" max="4" width="4.625" style="28" customWidth="1"/>
    <col min="5" max="5" width="6.625" style="28" customWidth="1"/>
    <col min="6" max="6" width="7.625" style="29" customWidth="1"/>
    <col min="7" max="7" width="8.625" style="29" customWidth="1"/>
    <col min="8" max="8" width="7.625" style="29" customWidth="1"/>
    <col min="9" max="9" width="8.625" style="29" customWidth="1"/>
    <col min="10" max="10" width="7.625" style="29" customWidth="1"/>
    <col min="11" max="11" width="8.625" style="29" customWidth="1"/>
    <col min="12" max="12" width="7.625" style="29" customWidth="1"/>
    <col min="13" max="13" width="8.625" style="29" customWidth="1"/>
    <col min="14" max="14" width="6.625" style="30" customWidth="1"/>
    <col min="15" max="18" width="0" style="27" hidden="1" customWidth="1"/>
    <col min="19" max="16384" width="9" style="27"/>
  </cols>
  <sheetData>
    <row r="1" spans="1:18" ht="26.1" customHeight="1">
      <c r="A1" s="142" t="s">
        <v>715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</row>
    <row r="2" spans="1:18" ht="16.5" customHeight="1">
      <c r="A2" s="157" t="s">
        <v>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</row>
    <row r="3" spans="1:18" ht="16.5" customHeight="1">
      <c r="A3" s="156" t="s">
        <v>465</v>
      </c>
      <c r="B3" s="156" t="s">
        <v>508</v>
      </c>
      <c r="C3" s="156" t="s">
        <v>509</v>
      </c>
      <c r="D3" s="156" t="s">
        <v>4</v>
      </c>
      <c r="E3" s="156" t="s">
        <v>466</v>
      </c>
      <c r="F3" s="156" t="s">
        <v>467</v>
      </c>
      <c r="G3" s="156"/>
      <c r="H3" s="156" t="s">
        <v>468</v>
      </c>
      <c r="I3" s="156"/>
      <c r="J3" s="156" t="s">
        <v>469</v>
      </c>
      <c r="K3" s="156"/>
      <c r="L3" s="156" t="s">
        <v>470</v>
      </c>
      <c r="M3" s="156"/>
      <c r="N3" s="156" t="s">
        <v>440</v>
      </c>
    </row>
    <row r="4" spans="1:18" ht="16.5" customHeight="1">
      <c r="A4" s="156"/>
      <c r="B4" s="156"/>
      <c r="C4" s="156"/>
      <c r="D4" s="156"/>
      <c r="E4" s="156"/>
      <c r="F4" s="87" t="s">
        <v>441</v>
      </c>
      <c r="G4" s="87" t="s">
        <v>716</v>
      </c>
      <c r="H4" s="87" t="s">
        <v>441</v>
      </c>
      <c r="I4" s="87" t="s">
        <v>716</v>
      </c>
      <c r="J4" s="87" t="s">
        <v>441</v>
      </c>
      <c r="K4" s="87" t="s">
        <v>716</v>
      </c>
      <c r="L4" s="87" t="s">
        <v>441</v>
      </c>
      <c r="M4" s="87" t="s">
        <v>716</v>
      </c>
      <c r="N4" s="156"/>
      <c r="O4" s="27" t="s">
        <v>443</v>
      </c>
      <c r="P4" s="27" t="s">
        <v>444</v>
      </c>
      <c r="Q4" s="27" t="s">
        <v>445</v>
      </c>
      <c r="R4" s="27" t="s">
        <v>446</v>
      </c>
    </row>
    <row r="5" spans="1:18" ht="16.5" customHeight="1">
      <c r="A5" s="95" t="s">
        <v>717</v>
      </c>
      <c r="B5" s="96" t="s">
        <v>718</v>
      </c>
      <c r="C5" s="96" t="s">
        <v>515</v>
      </c>
      <c r="D5" s="95" t="s">
        <v>516</v>
      </c>
      <c r="E5" s="97">
        <v>1</v>
      </c>
      <c r="F5" s="98">
        <f>일위대가표!F16</f>
        <v>47231</v>
      </c>
      <c r="G5" s="98">
        <f t="shared" ref="G5:G36" si="0">E5*F5</f>
        <v>47231</v>
      </c>
      <c r="H5" s="98">
        <f>일위대가표!H16</f>
        <v>36878</v>
      </c>
      <c r="I5" s="98">
        <f t="shared" ref="I5:I36" si="1">E5*H5</f>
        <v>36878</v>
      </c>
      <c r="J5" s="98">
        <f>일위대가표!J16</f>
        <v>0</v>
      </c>
      <c r="K5" s="98">
        <f t="shared" ref="K5:K36" si="2">E5*J5</f>
        <v>0</v>
      </c>
      <c r="L5" s="98">
        <f t="shared" ref="L5:L36" si="3">F5+H5+J5</f>
        <v>84109</v>
      </c>
      <c r="M5" s="98">
        <f t="shared" ref="M5:M36" si="4">G5+I5+K5</f>
        <v>84109</v>
      </c>
      <c r="N5" s="99" t="s">
        <v>517</v>
      </c>
    </row>
    <row r="6" spans="1:18" ht="16.5" customHeight="1">
      <c r="A6" s="95" t="s">
        <v>719</v>
      </c>
      <c r="B6" s="96" t="s">
        <v>720</v>
      </c>
      <c r="C6" s="96" t="s">
        <v>519</v>
      </c>
      <c r="D6" s="95" t="s">
        <v>506</v>
      </c>
      <c r="E6" s="97">
        <v>1</v>
      </c>
      <c r="F6" s="98">
        <f>일위대가표!F19</f>
        <v>0</v>
      </c>
      <c r="G6" s="98">
        <f t="shared" si="0"/>
        <v>0</v>
      </c>
      <c r="H6" s="98">
        <f>일위대가표!H19</f>
        <v>8780</v>
      </c>
      <c r="I6" s="98">
        <f t="shared" si="1"/>
        <v>8780</v>
      </c>
      <c r="J6" s="98">
        <f>일위대가표!J19</f>
        <v>0</v>
      </c>
      <c r="K6" s="98">
        <f t="shared" si="2"/>
        <v>0</v>
      </c>
      <c r="L6" s="98">
        <f t="shared" si="3"/>
        <v>8780</v>
      </c>
      <c r="M6" s="98">
        <f t="shared" si="4"/>
        <v>8780</v>
      </c>
      <c r="N6" s="99" t="s">
        <v>19</v>
      </c>
    </row>
    <row r="7" spans="1:18" ht="16.5" customHeight="1">
      <c r="A7" s="95" t="s">
        <v>721</v>
      </c>
      <c r="B7" s="96" t="s">
        <v>722</v>
      </c>
      <c r="C7" s="96" t="s">
        <v>970</v>
      </c>
      <c r="D7" s="95" t="s">
        <v>26</v>
      </c>
      <c r="E7" s="97">
        <v>1</v>
      </c>
      <c r="F7" s="98">
        <f>일위대가표!F23</f>
        <v>187.5</v>
      </c>
      <c r="G7" s="98">
        <f t="shared" si="0"/>
        <v>187.5</v>
      </c>
      <c r="H7" s="98">
        <f>일위대가표!H23</f>
        <v>878</v>
      </c>
      <c r="I7" s="98">
        <f t="shared" si="1"/>
        <v>878</v>
      </c>
      <c r="J7" s="98">
        <f>일위대가표!J23</f>
        <v>0</v>
      </c>
      <c r="K7" s="98">
        <f t="shared" si="2"/>
        <v>0</v>
      </c>
      <c r="L7" s="98">
        <f t="shared" si="3"/>
        <v>1065.5</v>
      </c>
      <c r="M7" s="98">
        <f t="shared" si="4"/>
        <v>1065.5</v>
      </c>
      <c r="N7" s="99" t="s">
        <v>522</v>
      </c>
    </row>
    <row r="8" spans="1:18" ht="16.5" customHeight="1">
      <c r="A8" s="95" t="s">
        <v>723</v>
      </c>
      <c r="B8" s="96" t="s">
        <v>724</v>
      </c>
      <c r="C8" s="96" t="s">
        <v>524</v>
      </c>
      <c r="D8" s="95" t="s">
        <v>221</v>
      </c>
      <c r="E8" s="97">
        <v>1</v>
      </c>
      <c r="F8" s="98">
        <f>일위대가표!F28</f>
        <v>16</v>
      </c>
      <c r="G8" s="98">
        <f t="shared" si="0"/>
        <v>16</v>
      </c>
      <c r="H8" s="98">
        <f>일위대가표!H28</f>
        <v>163</v>
      </c>
      <c r="I8" s="98">
        <f t="shared" si="1"/>
        <v>163</v>
      </c>
      <c r="J8" s="98">
        <f>일위대가표!J28</f>
        <v>0</v>
      </c>
      <c r="K8" s="98">
        <f t="shared" si="2"/>
        <v>0</v>
      </c>
      <c r="L8" s="98">
        <f t="shared" si="3"/>
        <v>179</v>
      </c>
      <c r="M8" s="98">
        <f t="shared" si="4"/>
        <v>179</v>
      </c>
      <c r="N8" s="99" t="s">
        <v>525</v>
      </c>
    </row>
    <row r="9" spans="1:18" ht="16.5" customHeight="1">
      <c r="A9" s="95" t="s">
        <v>528</v>
      </c>
      <c r="B9" s="96" t="s">
        <v>526</v>
      </c>
      <c r="C9" s="96" t="s">
        <v>527</v>
      </c>
      <c r="D9" s="95" t="s">
        <v>107</v>
      </c>
      <c r="E9" s="97">
        <v>1</v>
      </c>
      <c r="F9" s="98">
        <f>일위대가표!F32</f>
        <v>65220</v>
      </c>
      <c r="G9" s="98">
        <f t="shared" si="0"/>
        <v>65220</v>
      </c>
      <c r="H9" s="98">
        <f>일위대가표!H32</f>
        <v>0</v>
      </c>
      <c r="I9" s="98">
        <f t="shared" si="1"/>
        <v>0</v>
      </c>
      <c r="J9" s="98">
        <f>일위대가표!J32</f>
        <v>0</v>
      </c>
      <c r="K9" s="98">
        <f t="shared" si="2"/>
        <v>0</v>
      </c>
      <c r="L9" s="98">
        <f t="shared" si="3"/>
        <v>65220</v>
      </c>
      <c r="M9" s="98">
        <f t="shared" si="4"/>
        <v>65220</v>
      </c>
      <c r="N9" s="99" t="s">
        <v>530</v>
      </c>
    </row>
    <row r="10" spans="1:18" ht="16.5" customHeight="1">
      <c r="A10" s="95" t="s">
        <v>725</v>
      </c>
      <c r="B10" s="96" t="s">
        <v>726</v>
      </c>
      <c r="C10" s="96" t="s">
        <v>524</v>
      </c>
      <c r="D10" s="95" t="s">
        <v>221</v>
      </c>
      <c r="E10" s="97">
        <v>1</v>
      </c>
      <c r="F10" s="98">
        <f>일위대가표!F37</f>
        <v>21</v>
      </c>
      <c r="G10" s="98">
        <f t="shared" si="0"/>
        <v>21</v>
      </c>
      <c r="H10" s="98">
        <f>일위대가표!H37</f>
        <v>151</v>
      </c>
      <c r="I10" s="98">
        <f t="shared" si="1"/>
        <v>151</v>
      </c>
      <c r="J10" s="98">
        <f>일위대가표!J37</f>
        <v>0</v>
      </c>
      <c r="K10" s="98">
        <f t="shared" si="2"/>
        <v>0</v>
      </c>
      <c r="L10" s="98">
        <f t="shared" si="3"/>
        <v>172</v>
      </c>
      <c r="M10" s="98">
        <f t="shared" si="4"/>
        <v>172</v>
      </c>
      <c r="N10" s="99" t="s">
        <v>525</v>
      </c>
    </row>
    <row r="11" spans="1:18" ht="16.5" customHeight="1">
      <c r="A11" s="95" t="s">
        <v>727</v>
      </c>
      <c r="B11" s="96" t="s">
        <v>728</v>
      </c>
      <c r="C11" s="96" t="s">
        <v>533</v>
      </c>
      <c r="D11" s="95" t="s">
        <v>221</v>
      </c>
      <c r="E11" s="97">
        <v>1</v>
      </c>
      <c r="F11" s="98">
        <f>일위대가표!F40</f>
        <v>0</v>
      </c>
      <c r="G11" s="98">
        <f t="shared" si="0"/>
        <v>0</v>
      </c>
      <c r="H11" s="98">
        <f>일위대가표!H40</f>
        <v>70</v>
      </c>
      <c r="I11" s="98">
        <f t="shared" si="1"/>
        <v>70</v>
      </c>
      <c r="J11" s="98">
        <f>일위대가표!J40</f>
        <v>0</v>
      </c>
      <c r="K11" s="98">
        <f t="shared" si="2"/>
        <v>0</v>
      </c>
      <c r="L11" s="98">
        <f t="shared" si="3"/>
        <v>70</v>
      </c>
      <c r="M11" s="98">
        <f t="shared" si="4"/>
        <v>70</v>
      </c>
      <c r="N11" s="99" t="s">
        <v>534</v>
      </c>
    </row>
    <row r="12" spans="1:18" ht="16.5" customHeight="1">
      <c r="A12" s="95" t="s">
        <v>729</v>
      </c>
      <c r="B12" s="96" t="s">
        <v>730</v>
      </c>
      <c r="C12" s="96" t="s">
        <v>536</v>
      </c>
      <c r="D12" s="95" t="s">
        <v>26</v>
      </c>
      <c r="E12" s="97">
        <v>1</v>
      </c>
      <c r="F12" s="98">
        <f>일위대가표!F48</f>
        <v>4462</v>
      </c>
      <c r="G12" s="98">
        <f t="shared" si="0"/>
        <v>4462</v>
      </c>
      <c r="H12" s="98">
        <f>일위대가표!H48</f>
        <v>9441</v>
      </c>
      <c r="I12" s="98">
        <f t="shared" si="1"/>
        <v>9441</v>
      </c>
      <c r="J12" s="98">
        <f>일위대가표!J48</f>
        <v>0</v>
      </c>
      <c r="K12" s="98">
        <f t="shared" si="2"/>
        <v>0</v>
      </c>
      <c r="L12" s="98">
        <f t="shared" si="3"/>
        <v>13903</v>
      </c>
      <c r="M12" s="98">
        <f t="shared" si="4"/>
        <v>13903</v>
      </c>
      <c r="N12" s="99" t="s">
        <v>537</v>
      </c>
    </row>
    <row r="13" spans="1:18" ht="16.5" customHeight="1">
      <c r="A13" s="95" t="s">
        <v>731</v>
      </c>
      <c r="B13" s="96" t="s">
        <v>730</v>
      </c>
      <c r="C13" s="96" t="s">
        <v>541</v>
      </c>
      <c r="D13" s="95" t="s">
        <v>26</v>
      </c>
      <c r="E13" s="97">
        <v>1</v>
      </c>
      <c r="F13" s="98">
        <f>일위대가표!F56</f>
        <v>2912</v>
      </c>
      <c r="G13" s="98">
        <f t="shared" si="0"/>
        <v>2912</v>
      </c>
      <c r="H13" s="98">
        <f>일위대가표!H56</f>
        <v>7412</v>
      </c>
      <c r="I13" s="98">
        <f t="shared" si="1"/>
        <v>7412</v>
      </c>
      <c r="J13" s="98">
        <f>일위대가표!J56</f>
        <v>0</v>
      </c>
      <c r="K13" s="98">
        <f t="shared" si="2"/>
        <v>0</v>
      </c>
      <c r="L13" s="98">
        <f t="shared" si="3"/>
        <v>10324</v>
      </c>
      <c r="M13" s="98">
        <f t="shared" si="4"/>
        <v>10324</v>
      </c>
      <c r="N13" s="99" t="s">
        <v>537</v>
      </c>
    </row>
    <row r="14" spans="1:18" ht="16.5" customHeight="1">
      <c r="A14" s="95" t="s">
        <v>732</v>
      </c>
      <c r="B14" s="96" t="s">
        <v>733</v>
      </c>
      <c r="C14" s="96" t="s">
        <v>543</v>
      </c>
      <c r="D14" s="95" t="s">
        <v>26</v>
      </c>
      <c r="E14" s="97">
        <v>1</v>
      </c>
      <c r="F14" s="98">
        <f>일위대가표!F61</f>
        <v>182</v>
      </c>
      <c r="G14" s="98">
        <f t="shared" si="0"/>
        <v>182</v>
      </c>
      <c r="H14" s="98">
        <f>일위대가표!H61</f>
        <v>6089</v>
      </c>
      <c r="I14" s="98">
        <f t="shared" si="1"/>
        <v>6089</v>
      </c>
      <c r="J14" s="98">
        <f>일위대가표!J61</f>
        <v>0</v>
      </c>
      <c r="K14" s="98">
        <f t="shared" si="2"/>
        <v>0</v>
      </c>
      <c r="L14" s="98">
        <f t="shared" si="3"/>
        <v>6271</v>
      </c>
      <c r="M14" s="98">
        <f t="shared" si="4"/>
        <v>6271</v>
      </c>
      <c r="N14" s="99" t="s">
        <v>544</v>
      </c>
    </row>
    <row r="15" spans="1:18" ht="16.5" customHeight="1">
      <c r="A15" s="95" t="s">
        <v>734</v>
      </c>
      <c r="B15" s="96" t="s">
        <v>735</v>
      </c>
      <c r="C15" s="96" t="s">
        <v>546</v>
      </c>
      <c r="D15" s="95" t="s">
        <v>26</v>
      </c>
      <c r="E15" s="97">
        <v>1</v>
      </c>
      <c r="F15" s="98">
        <f>일위대가표!F66</f>
        <v>1855</v>
      </c>
      <c r="G15" s="98">
        <f t="shared" si="0"/>
        <v>1855</v>
      </c>
      <c r="H15" s="98">
        <f>일위대가표!H66</f>
        <v>5529</v>
      </c>
      <c r="I15" s="98">
        <f t="shared" si="1"/>
        <v>5529</v>
      </c>
      <c r="J15" s="98">
        <f>일위대가표!J66</f>
        <v>0</v>
      </c>
      <c r="K15" s="98">
        <f t="shared" si="2"/>
        <v>0</v>
      </c>
      <c r="L15" s="98">
        <f t="shared" si="3"/>
        <v>7384</v>
      </c>
      <c r="M15" s="98">
        <f t="shared" si="4"/>
        <v>7384</v>
      </c>
      <c r="N15" s="99" t="s">
        <v>547</v>
      </c>
    </row>
    <row r="16" spans="1:18" ht="16.5" customHeight="1">
      <c r="A16" s="95" t="s">
        <v>550</v>
      </c>
      <c r="B16" s="96" t="s">
        <v>548</v>
      </c>
      <c r="C16" s="96" t="s">
        <v>549</v>
      </c>
      <c r="D16" s="95" t="s">
        <v>107</v>
      </c>
      <c r="E16" s="97">
        <v>1</v>
      </c>
      <c r="F16" s="98">
        <f>일위대가표!F71</f>
        <v>77320</v>
      </c>
      <c r="G16" s="98">
        <f t="shared" si="0"/>
        <v>77320</v>
      </c>
      <c r="H16" s="98">
        <f>일위대가표!H71</f>
        <v>40565</v>
      </c>
      <c r="I16" s="98">
        <f t="shared" si="1"/>
        <v>40565</v>
      </c>
      <c r="J16" s="98">
        <f>일위대가표!J71</f>
        <v>0</v>
      </c>
      <c r="K16" s="98">
        <f t="shared" si="2"/>
        <v>0</v>
      </c>
      <c r="L16" s="98">
        <f t="shared" si="3"/>
        <v>117885</v>
      </c>
      <c r="M16" s="98">
        <f t="shared" si="4"/>
        <v>117885</v>
      </c>
      <c r="N16" s="99" t="s">
        <v>530</v>
      </c>
    </row>
    <row r="17" spans="1:14" ht="16.5" customHeight="1">
      <c r="A17" s="95" t="s">
        <v>736</v>
      </c>
      <c r="B17" s="96" t="s">
        <v>735</v>
      </c>
      <c r="C17" s="96" t="s">
        <v>553</v>
      </c>
      <c r="D17" s="95" t="s">
        <v>26</v>
      </c>
      <c r="E17" s="97">
        <v>1</v>
      </c>
      <c r="F17" s="98">
        <f>일위대가표!F76</f>
        <v>1391</v>
      </c>
      <c r="G17" s="98">
        <f t="shared" si="0"/>
        <v>1391</v>
      </c>
      <c r="H17" s="98">
        <f>일위대가표!H76</f>
        <v>6776</v>
      </c>
      <c r="I17" s="98">
        <f t="shared" si="1"/>
        <v>6776</v>
      </c>
      <c r="J17" s="98">
        <f>일위대가표!J76</f>
        <v>0</v>
      </c>
      <c r="K17" s="98">
        <f t="shared" si="2"/>
        <v>0</v>
      </c>
      <c r="L17" s="98">
        <f t="shared" si="3"/>
        <v>8167</v>
      </c>
      <c r="M17" s="98">
        <f t="shared" si="4"/>
        <v>8167</v>
      </c>
      <c r="N17" s="99" t="s">
        <v>547</v>
      </c>
    </row>
    <row r="18" spans="1:14" ht="16.5" customHeight="1">
      <c r="A18" s="95" t="s">
        <v>737</v>
      </c>
      <c r="B18" s="96" t="s">
        <v>738</v>
      </c>
      <c r="C18" s="96" t="s">
        <v>555</v>
      </c>
      <c r="D18" s="95" t="s">
        <v>26</v>
      </c>
      <c r="E18" s="97">
        <v>1</v>
      </c>
      <c r="F18" s="98">
        <f>일위대가표!F82</f>
        <v>1391</v>
      </c>
      <c r="G18" s="98">
        <f t="shared" si="0"/>
        <v>1391</v>
      </c>
      <c r="H18" s="98">
        <f>일위대가표!H82</f>
        <v>16898</v>
      </c>
      <c r="I18" s="98">
        <f t="shared" si="1"/>
        <v>16898</v>
      </c>
      <c r="J18" s="98">
        <f>일위대가표!J82</f>
        <v>0</v>
      </c>
      <c r="K18" s="98">
        <f t="shared" si="2"/>
        <v>0</v>
      </c>
      <c r="L18" s="98">
        <f t="shared" si="3"/>
        <v>18289</v>
      </c>
      <c r="M18" s="98">
        <f t="shared" si="4"/>
        <v>18289</v>
      </c>
      <c r="N18" s="99" t="s">
        <v>556</v>
      </c>
    </row>
    <row r="19" spans="1:14" ht="16.5" customHeight="1">
      <c r="A19" s="95" t="s">
        <v>559</v>
      </c>
      <c r="B19" s="96" t="s">
        <v>557</v>
      </c>
      <c r="C19" s="96" t="s">
        <v>558</v>
      </c>
      <c r="D19" s="95" t="s">
        <v>26</v>
      </c>
      <c r="E19" s="97">
        <v>1</v>
      </c>
      <c r="F19" s="98">
        <f>일위대가표!F86</f>
        <v>0</v>
      </c>
      <c r="G19" s="98">
        <f t="shared" si="0"/>
        <v>0</v>
      </c>
      <c r="H19" s="98">
        <f>일위대가표!H86</f>
        <v>3854</v>
      </c>
      <c r="I19" s="98">
        <f t="shared" si="1"/>
        <v>3854</v>
      </c>
      <c r="J19" s="98">
        <f>일위대가표!J86</f>
        <v>0</v>
      </c>
      <c r="K19" s="98">
        <f t="shared" si="2"/>
        <v>0</v>
      </c>
      <c r="L19" s="98">
        <f t="shared" si="3"/>
        <v>3854</v>
      </c>
      <c r="M19" s="98">
        <f t="shared" si="4"/>
        <v>3854</v>
      </c>
      <c r="N19" s="99" t="s">
        <v>556</v>
      </c>
    </row>
    <row r="20" spans="1:14" ht="16.5" customHeight="1">
      <c r="A20" s="95" t="s">
        <v>561</v>
      </c>
      <c r="B20" s="96" t="s">
        <v>557</v>
      </c>
      <c r="C20" s="96" t="s">
        <v>560</v>
      </c>
      <c r="D20" s="95" t="s">
        <v>26</v>
      </c>
      <c r="E20" s="97">
        <v>1</v>
      </c>
      <c r="F20" s="98">
        <f>일위대가표!F90</f>
        <v>0</v>
      </c>
      <c r="G20" s="98">
        <f t="shared" si="0"/>
        <v>0</v>
      </c>
      <c r="H20" s="98">
        <f>일위대가표!H90</f>
        <v>5960</v>
      </c>
      <c r="I20" s="98">
        <f t="shared" si="1"/>
        <v>5960</v>
      </c>
      <c r="J20" s="98">
        <f>일위대가표!J90</f>
        <v>0</v>
      </c>
      <c r="K20" s="98">
        <f t="shared" si="2"/>
        <v>0</v>
      </c>
      <c r="L20" s="98">
        <f t="shared" si="3"/>
        <v>5960</v>
      </c>
      <c r="M20" s="98">
        <f t="shared" si="4"/>
        <v>5960</v>
      </c>
      <c r="N20" s="99" t="s">
        <v>556</v>
      </c>
    </row>
    <row r="21" spans="1:14" ht="16.5" customHeight="1">
      <c r="A21" s="95" t="s">
        <v>563</v>
      </c>
      <c r="B21" s="96" t="s">
        <v>557</v>
      </c>
      <c r="C21" s="96" t="s">
        <v>562</v>
      </c>
      <c r="D21" s="95" t="s">
        <v>26</v>
      </c>
      <c r="E21" s="97">
        <v>1</v>
      </c>
      <c r="F21" s="98">
        <f>일위대가표!F94</f>
        <v>0</v>
      </c>
      <c r="G21" s="98">
        <f t="shared" si="0"/>
        <v>0</v>
      </c>
      <c r="H21" s="98">
        <f>일위대가표!H94</f>
        <v>6354</v>
      </c>
      <c r="I21" s="98">
        <f t="shared" si="1"/>
        <v>6354</v>
      </c>
      <c r="J21" s="98">
        <f>일위대가표!J94</f>
        <v>0</v>
      </c>
      <c r="K21" s="98">
        <f t="shared" si="2"/>
        <v>0</v>
      </c>
      <c r="L21" s="98">
        <f t="shared" si="3"/>
        <v>6354</v>
      </c>
      <c r="M21" s="98">
        <f t="shared" si="4"/>
        <v>6354</v>
      </c>
      <c r="N21" s="99" t="s">
        <v>556</v>
      </c>
    </row>
    <row r="22" spans="1:14" ht="16.5" customHeight="1">
      <c r="A22" s="95" t="s">
        <v>739</v>
      </c>
      <c r="B22" s="96" t="s">
        <v>740</v>
      </c>
      <c r="C22" s="96" t="s">
        <v>568</v>
      </c>
      <c r="D22" s="95" t="s">
        <v>34</v>
      </c>
      <c r="E22" s="97">
        <v>1</v>
      </c>
      <c r="F22" s="98">
        <f>일위대가표!F99</f>
        <v>645</v>
      </c>
      <c r="G22" s="98">
        <f t="shared" si="0"/>
        <v>645</v>
      </c>
      <c r="H22" s="98">
        <f>일위대가표!H99</f>
        <v>1588</v>
      </c>
      <c r="I22" s="98">
        <f t="shared" si="1"/>
        <v>1588</v>
      </c>
      <c r="J22" s="98">
        <f>일위대가표!J99</f>
        <v>0</v>
      </c>
      <c r="K22" s="98">
        <f t="shared" si="2"/>
        <v>0</v>
      </c>
      <c r="L22" s="98">
        <f t="shared" si="3"/>
        <v>2233</v>
      </c>
      <c r="M22" s="98">
        <f t="shared" si="4"/>
        <v>2233</v>
      </c>
      <c r="N22" s="99" t="s">
        <v>569</v>
      </c>
    </row>
    <row r="23" spans="1:14" ht="16.5" customHeight="1">
      <c r="A23" s="95" t="s">
        <v>571</v>
      </c>
      <c r="B23" s="96" t="s">
        <v>548</v>
      </c>
      <c r="C23" s="96" t="s">
        <v>570</v>
      </c>
      <c r="D23" s="95" t="s">
        <v>107</v>
      </c>
      <c r="E23" s="97">
        <v>1</v>
      </c>
      <c r="F23" s="98">
        <f>일위대가표!F104</f>
        <v>64570</v>
      </c>
      <c r="G23" s="98">
        <f t="shared" si="0"/>
        <v>64570</v>
      </c>
      <c r="H23" s="98">
        <f>일위대가표!H104</f>
        <v>26367</v>
      </c>
      <c r="I23" s="98">
        <f t="shared" si="1"/>
        <v>26367</v>
      </c>
      <c r="J23" s="98">
        <f>일위대가표!J104</f>
        <v>0</v>
      </c>
      <c r="K23" s="98">
        <f t="shared" si="2"/>
        <v>0</v>
      </c>
      <c r="L23" s="98">
        <f t="shared" si="3"/>
        <v>90937</v>
      </c>
      <c r="M23" s="98">
        <f t="shared" si="4"/>
        <v>90937</v>
      </c>
      <c r="N23" s="99" t="s">
        <v>530</v>
      </c>
    </row>
    <row r="24" spans="1:14" ht="16.5" customHeight="1">
      <c r="A24" s="95" t="s">
        <v>741</v>
      </c>
      <c r="B24" s="96" t="s">
        <v>742</v>
      </c>
      <c r="C24" s="96" t="s">
        <v>574</v>
      </c>
      <c r="D24" s="95" t="s">
        <v>26</v>
      </c>
      <c r="E24" s="97">
        <v>1</v>
      </c>
      <c r="F24" s="98">
        <f>일위대가표!F112</f>
        <v>950</v>
      </c>
      <c r="G24" s="98">
        <f t="shared" si="0"/>
        <v>950</v>
      </c>
      <c r="H24" s="98">
        <f>일위대가표!H112</f>
        <v>15301</v>
      </c>
      <c r="I24" s="98">
        <f t="shared" si="1"/>
        <v>15301</v>
      </c>
      <c r="J24" s="98">
        <f>일위대가표!J112</f>
        <v>0</v>
      </c>
      <c r="K24" s="98">
        <f t="shared" si="2"/>
        <v>0</v>
      </c>
      <c r="L24" s="98">
        <f t="shared" si="3"/>
        <v>16251</v>
      </c>
      <c r="M24" s="98">
        <f t="shared" si="4"/>
        <v>16251</v>
      </c>
      <c r="N24" s="99" t="s">
        <v>575</v>
      </c>
    </row>
    <row r="25" spans="1:14" ht="16.5" customHeight="1">
      <c r="A25" s="95" t="s">
        <v>577</v>
      </c>
      <c r="B25" s="96" t="s">
        <v>526</v>
      </c>
      <c r="C25" s="96" t="s">
        <v>576</v>
      </c>
      <c r="D25" s="95" t="s">
        <v>107</v>
      </c>
      <c r="E25" s="97">
        <v>1</v>
      </c>
      <c r="F25" s="98">
        <f>일위대가표!F116</f>
        <v>81120</v>
      </c>
      <c r="G25" s="98">
        <f t="shared" si="0"/>
        <v>81120</v>
      </c>
      <c r="H25" s="98">
        <f>일위대가표!H116</f>
        <v>0</v>
      </c>
      <c r="I25" s="98">
        <f t="shared" si="1"/>
        <v>0</v>
      </c>
      <c r="J25" s="98">
        <f>일위대가표!J116</f>
        <v>0</v>
      </c>
      <c r="K25" s="98">
        <f t="shared" si="2"/>
        <v>0</v>
      </c>
      <c r="L25" s="98">
        <f t="shared" si="3"/>
        <v>81120</v>
      </c>
      <c r="M25" s="98">
        <f t="shared" si="4"/>
        <v>81120</v>
      </c>
      <c r="N25" s="99" t="s">
        <v>530</v>
      </c>
    </row>
    <row r="26" spans="1:14" ht="16.5" customHeight="1">
      <c r="A26" s="95" t="s">
        <v>579</v>
      </c>
      <c r="B26" s="96" t="s">
        <v>526</v>
      </c>
      <c r="C26" s="96" t="s">
        <v>578</v>
      </c>
      <c r="D26" s="95" t="s">
        <v>107</v>
      </c>
      <c r="E26" s="97">
        <v>1</v>
      </c>
      <c r="F26" s="98">
        <f>일위대가표!F120</f>
        <v>120846</v>
      </c>
      <c r="G26" s="98">
        <f t="shared" si="0"/>
        <v>120846</v>
      </c>
      <c r="H26" s="98">
        <f>일위대가표!H120</f>
        <v>0</v>
      </c>
      <c r="I26" s="98">
        <f t="shared" si="1"/>
        <v>0</v>
      </c>
      <c r="J26" s="98">
        <f>일위대가표!J120</f>
        <v>0</v>
      </c>
      <c r="K26" s="98">
        <f t="shared" si="2"/>
        <v>0</v>
      </c>
      <c r="L26" s="98">
        <f t="shared" si="3"/>
        <v>120846</v>
      </c>
      <c r="M26" s="98">
        <f t="shared" si="4"/>
        <v>120846</v>
      </c>
      <c r="N26" s="99" t="s">
        <v>530</v>
      </c>
    </row>
    <row r="27" spans="1:14" ht="16.5" customHeight="1">
      <c r="A27" s="95" t="s">
        <v>743</v>
      </c>
      <c r="B27" s="96" t="s">
        <v>742</v>
      </c>
      <c r="C27" s="96" t="s">
        <v>584</v>
      </c>
      <c r="D27" s="95" t="s">
        <v>26</v>
      </c>
      <c r="E27" s="97">
        <v>1</v>
      </c>
      <c r="F27" s="98">
        <f>일위대가표!F128</f>
        <v>1080</v>
      </c>
      <c r="G27" s="98">
        <f t="shared" si="0"/>
        <v>1080</v>
      </c>
      <c r="H27" s="98">
        <f>일위대가표!H128</f>
        <v>17022</v>
      </c>
      <c r="I27" s="98">
        <f t="shared" si="1"/>
        <v>17022</v>
      </c>
      <c r="J27" s="98">
        <f>일위대가표!J128</f>
        <v>0</v>
      </c>
      <c r="K27" s="98">
        <f t="shared" si="2"/>
        <v>0</v>
      </c>
      <c r="L27" s="98">
        <f t="shared" si="3"/>
        <v>18102</v>
      </c>
      <c r="M27" s="98">
        <f t="shared" si="4"/>
        <v>18102</v>
      </c>
      <c r="N27" s="99" t="s">
        <v>575</v>
      </c>
    </row>
    <row r="28" spans="1:14" ht="16.5" customHeight="1">
      <c r="A28" s="95" t="s">
        <v>744</v>
      </c>
      <c r="B28" s="96" t="s">
        <v>735</v>
      </c>
      <c r="C28" s="96" t="s">
        <v>586</v>
      </c>
      <c r="D28" s="95" t="s">
        <v>26</v>
      </c>
      <c r="E28" s="97">
        <v>1</v>
      </c>
      <c r="F28" s="98">
        <f>일위대가표!F133</f>
        <v>3479</v>
      </c>
      <c r="G28" s="98">
        <f t="shared" si="0"/>
        <v>3479</v>
      </c>
      <c r="H28" s="98">
        <f>일위대가표!H133</f>
        <v>6381</v>
      </c>
      <c r="I28" s="98">
        <f t="shared" si="1"/>
        <v>6381</v>
      </c>
      <c r="J28" s="98">
        <f>일위대가표!J133</f>
        <v>0</v>
      </c>
      <c r="K28" s="98">
        <f t="shared" si="2"/>
        <v>0</v>
      </c>
      <c r="L28" s="98">
        <f t="shared" si="3"/>
        <v>9860</v>
      </c>
      <c r="M28" s="98">
        <f t="shared" si="4"/>
        <v>9860</v>
      </c>
      <c r="N28" s="99" t="s">
        <v>547</v>
      </c>
    </row>
    <row r="29" spans="1:14" ht="16.5" customHeight="1">
      <c r="A29" s="95" t="s">
        <v>745</v>
      </c>
      <c r="B29" s="96" t="s">
        <v>746</v>
      </c>
      <c r="C29" s="96" t="s">
        <v>588</v>
      </c>
      <c r="D29" s="95" t="s">
        <v>237</v>
      </c>
      <c r="E29" s="97">
        <v>1</v>
      </c>
      <c r="F29" s="98">
        <f>일위대가표!F136</f>
        <v>1339200</v>
      </c>
      <c r="G29" s="98">
        <f t="shared" si="0"/>
        <v>1339200</v>
      </c>
      <c r="H29" s="98">
        <f>일위대가표!H136</f>
        <v>0</v>
      </c>
      <c r="I29" s="98">
        <f t="shared" si="1"/>
        <v>0</v>
      </c>
      <c r="J29" s="98">
        <f>일위대가표!J136</f>
        <v>0</v>
      </c>
      <c r="K29" s="98">
        <f t="shared" si="2"/>
        <v>0</v>
      </c>
      <c r="L29" s="98">
        <f t="shared" si="3"/>
        <v>1339200</v>
      </c>
      <c r="M29" s="98">
        <f t="shared" si="4"/>
        <v>1339200</v>
      </c>
      <c r="N29" s="99" t="s">
        <v>19</v>
      </c>
    </row>
    <row r="30" spans="1:14" ht="16.5" customHeight="1">
      <c r="A30" s="95" t="s">
        <v>747</v>
      </c>
      <c r="B30" s="96" t="s">
        <v>748</v>
      </c>
      <c r="C30" s="96" t="s">
        <v>590</v>
      </c>
      <c r="D30" s="95" t="s">
        <v>237</v>
      </c>
      <c r="E30" s="97">
        <v>1</v>
      </c>
      <c r="F30" s="98">
        <f>일위대가표!F139</f>
        <v>680400</v>
      </c>
      <c r="G30" s="98">
        <f t="shared" si="0"/>
        <v>680400</v>
      </c>
      <c r="H30" s="98">
        <f>일위대가표!H139</f>
        <v>0</v>
      </c>
      <c r="I30" s="98">
        <f t="shared" si="1"/>
        <v>0</v>
      </c>
      <c r="J30" s="98">
        <f>일위대가표!J139</f>
        <v>0</v>
      </c>
      <c r="K30" s="98">
        <f t="shared" si="2"/>
        <v>0</v>
      </c>
      <c r="L30" s="98">
        <f t="shared" si="3"/>
        <v>680400</v>
      </c>
      <c r="M30" s="98">
        <f t="shared" si="4"/>
        <v>680400</v>
      </c>
      <c r="N30" s="99" t="s">
        <v>19</v>
      </c>
    </row>
    <row r="31" spans="1:14" ht="16.5" customHeight="1">
      <c r="A31" s="95" t="s">
        <v>749</v>
      </c>
      <c r="B31" s="96" t="s">
        <v>750</v>
      </c>
      <c r="C31" s="96" t="s">
        <v>590</v>
      </c>
      <c r="D31" s="95" t="s">
        <v>237</v>
      </c>
      <c r="E31" s="97">
        <v>1</v>
      </c>
      <c r="F31" s="98">
        <f>일위대가표!F142</f>
        <v>680400</v>
      </c>
      <c r="G31" s="98">
        <f t="shared" si="0"/>
        <v>680400</v>
      </c>
      <c r="H31" s="98">
        <f>일위대가표!H142</f>
        <v>0</v>
      </c>
      <c r="I31" s="98">
        <f t="shared" si="1"/>
        <v>0</v>
      </c>
      <c r="J31" s="98">
        <f>일위대가표!J142</f>
        <v>0</v>
      </c>
      <c r="K31" s="98">
        <f t="shared" si="2"/>
        <v>0</v>
      </c>
      <c r="L31" s="98">
        <f t="shared" si="3"/>
        <v>680400</v>
      </c>
      <c r="M31" s="98">
        <f t="shared" si="4"/>
        <v>680400</v>
      </c>
      <c r="N31" s="99" t="s">
        <v>19</v>
      </c>
    </row>
    <row r="32" spans="1:14" ht="16.5" customHeight="1">
      <c r="A32" s="95" t="s">
        <v>751</v>
      </c>
      <c r="B32" s="96" t="s">
        <v>752</v>
      </c>
      <c r="C32" s="96" t="s">
        <v>593</v>
      </c>
      <c r="D32" s="95" t="s">
        <v>237</v>
      </c>
      <c r="E32" s="97">
        <v>1</v>
      </c>
      <c r="F32" s="98">
        <f>일위대가표!F145</f>
        <v>283500</v>
      </c>
      <c r="G32" s="98">
        <f t="shared" si="0"/>
        <v>283500</v>
      </c>
      <c r="H32" s="98">
        <f>일위대가표!H145</f>
        <v>0</v>
      </c>
      <c r="I32" s="98">
        <f t="shared" si="1"/>
        <v>0</v>
      </c>
      <c r="J32" s="98">
        <f>일위대가표!J145</f>
        <v>0</v>
      </c>
      <c r="K32" s="98">
        <f t="shared" si="2"/>
        <v>0</v>
      </c>
      <c r="L32" s="98">
        <f t="shared" si="3"/>
        <v>283500</v>
      </c>
      <c r="M32" s="98">
        <f t="shared" si="4"/>
        <v>283500</v>
      </c>
      <c r="N32" s="99" t="s">
        <v>19</v>
      </c>
    </row>
    <row r="33" spans="1:14" ht="16.5" customHeight="1">
      <c r="A33" s="95" t="s">
        <v>753</v>
      </c>
      <c r="B33" s="96" t="s">
        <v>754</v>
      </c>
      <c r="C33" s="96" t="s">
        <v>595</v>
      </c>
      <c r="D33" s="95" t="s">
        <v>237</v>
      </c>
      <c r="E33" s="97">
        <v>1</v>
      </c>
      <c r="F33" s="98">
        <f>일위대가표!F148</f>
        <v>529200</v>
      </c>
      <c r="G33" s="98">
        <f t="shared" si="0"/>
        <v>529200</v>
      </c>
      <c r="H33" s="98">
        <f>일위대가표!H148</f>
        <v>0</v>
      </c>
      <c r="I33" s="98">
        <f t="shared" si="1"/>
        <v>0</v>
      </c>
      <c r="J33" s="98">
        <f>일위대가표!J148</f>
        <v>0</v>
      </c>
      <c r="K33" s="98">
        <f t="shared" si="2"/>
        <v>0</v>
      </c>
      <c r="L33" s="98">
        <f t="shared" si="3"/>
        <v>529200</v>
      </c>
      <c r="M33" s="98">
        <f t="shared" si="4"/>
        <v>529200</v>
      </c>
      <c r="N33" s="99" t="s">
        <v>19</v>
      </c>
    </row>
    <row r="34" spans="1:14" ht="16.5" customHeight="1">
      <c r="A34" s="95" t="s">
        <v>755</v>
      </c>
      <c r="B34" s="96" t="s">
        <v>756</v>
      </c>
      <c r="C34" s="96" t="s">
        <v>597</v>
      </c>
      <c r="D34" s="95" t="s">
        <v>34</v>
      </c>
      <c r="E34" s="97">
        <v>1</v>
      </c>
      <c r="F34" s="98">
        <f>일위대가표!F152</f>
        <v>189</v>
      </c>
      <c r="G34" s="98">
        <f t="shared" si="0"/>
        <v>189</v>
      </c>
      <c r="H34" s="98">
        <f>일위대가표!H152</f>
        <v>2431</v>
      </c>
      <c r="I34" s="98">
        <f t="shared" si="1"/>
        <v>2431</v>
      </c>
      <c r="J34" s="98">
        <f>일위대가표!J152</f>
        <v>0</v>
      </c>
      <c r="K34" s="98">
        <f t="shared" si="2"/>
        <v>0</v>
      </c>
      <c r="L34" s="98">
        <f t="shared" si="3"/>
        <v>2620</v>
      </c>
      <c r="M34" s="98">
        <f t="shared" si="4"/>
        <v>2620</v>
      </c>
      <c r="N34" s="99" t="s">
        <v>598</v>
      </c>
    </row>
    <row r="35" spans="1:14" ht="16.5" customHeight="1">
      <c r="A35" s="95" t="s">
        <v>757</v>
      </c>
      <c r="B35" s="96" t="s">
        <v>758</v>
      </c>
      <c r="C35" s="96" t="s">
        <v>600</v>
      </c>
      <c r="D35" s="95" t="s">
        <v>34</v>
      </c>
      <c r="E35" s="97">
        <v>1</v>
      </c>
      <c r="F35" s="98">
        <f>일위대가표!F159</f>
        <v>5377</v>
      </c>
      <c r="G35" s="98">
        <f t="shared" si="0"/>
        <v>5377</v>
      </c>
      <c r="H35" s="98">
        <f>일위대가표!H159</f>
        <v>7362</v>
      </c>
      <c r="I35" s="98">
        <f t="shared" si="1"/>
        <v>7362</v>
      </c>
      <c r="J35" s="98">
        <f>일위대가표!J159</f>
        <v>29</v>
      </c>
      <c r="K35" s="98">
        <f t="shared" si="2"/>
        <v>29</v>
      </c>
      <c r="L35" s="98">
        <f t="shared" si="3"/>
        <v>12768</v>
      </c>
      <c r="M35" s="98">
        <f t="shared" si="4"/>
        <v>12768</v>
      </c>
      <c r="N35" s="99" t="s">
        <v>477</v>
      </c>
    </row>
    <row r="36" spans="1:14" ht="16.5" customHeight="1">
      <c r="A36" s="95" t="s">
        <v>603</v>
      </c>
      <c r="B36" s="96" t="s">
        <v>601</v>
      </c>
      <c r="C36" s="96" t="s">
        <v>602</v>
      </c>
      <c r="D36" s="95" t="s">
        <v>58</v>
      </c>
      <c r="E36" s="97">
        <v>1</v>
      </c>
      <c r="F36" s="98">
        <f>일위대가표!F171</f>
        <v>292</v>
      </c>
      <c r="G36" s="98">
        <f t="shared" si="0"/>
        <v>292</v>
      </c>
      <c r="H36" s="98">
        <f>일위대가표!H171</f>
        <v>3012</v>
      </c>
      <c r="I36" s="98">
        <f t="shared" si="1"/>
        <v>3012</v>
      </c>
      <c r="J36" s="98">
        <f>일위대가표!J171</f>
        <v>12</v>
      </c>
      <c r="K36" s="98">
        <f t="shared" si="2"/>
        <v>12</v>
      </c>
      <c r="L36" s="98">
        <f t="shared" si="3"/>
        <v>3316</v>
      </c>
      <c r="M36" s="98">
        <f t="shared" si="4"/>
        <v>3316</v>
      </c>
      <c r="N36" s="99" t="s">
        <v>607</v>
      </c>
    </row>
    <row r="37" spans="1:14" ht="16.5" customHeight="1">
      <c r="A37" s="95" t="s">
        <v>605</v>
      </c>
      <c r="B37" s="96" t="s">
        <v>604</v>
      </c>
      <c r="C37" s="96" t="s">
        <v>602</v>
      </c>
      <c r="D37" s="95" t="s">
        <v>58</v>
      </c>
      <c r="E37" s="97">
        <v>1</v>
      </c>
      <c r="F37" s="98">
        <f>일위대가표!F183</f>
        <v>187</v>
      </c>
      <c r="G37" s="98">
        <f t="shared" ref="G37:G68" si="5">E37*F37</f>
        <v>187</v>
      </c>
      <c r="H37" s="98">
        <f>일위대가표!H183</f>
        <v>3012</v>
      </c>
      <c r="I37" s="98">
        <f t="shared" ref="I37:I68" si="6">E37*H37</f>
        <v>3012</v>
      </c>
      <c r="J37" s="98">
        <f>일위대가표!J183</f>
        <v>12</v>
      </c>
      <c r="K37" s="98">
        <f t="shared" ref="K37:K68" si="7">E37*J37</f>
        <v>12</v>
      </c>
      <c r="L37" s="98">
        <f t="shared" ref="L37:L68" si="8">F37+H37+J37</f>
        <v>3211</v>
      </c>
      <c r="M37" s="98">
        <f t="shared" ref="M37:M68" si="9">G37+I37+K37</f>
        <v>3211</v>
      </c>
      <c r="N37" s="99" t="s">
        <v>607</v>
      </c>
    </row>
    <row r="38" spans="1:14" ht="16.5" customHeight="1">
      <c r="A38" s="95" t="s">
        <v>759</v>
      </c>
      <c r="B38" s="96" t="s">
        <v>760</v>
      </c>
      <c r="C38" s="96" t="s">
        <v>610</v>
      </c>
      <c r="D38" s="95" t="s">
        <v>26</v>
      </c>
      <c r="E38" s="97">
        <v>1</v>
      </c>
      <c r="F38" s="98">
        <f>일위대가표!F186</f>
        <v>0</v>
      </c>
      <c r="G38" s="98">
        <f t="shared" si="5"/>
        <v>0</v>
      </c>
      <c r="H38" s="98">
        <f>일위대가표!H186</f>
        <v>7937</v>
      </c>
      <c r="I38" s="98">
        <f t="shared" si="6"/>
        <v>7937</v>
      </c>
      <c r="J38" s="98">
        <f>일위대가표!J186</f>
        <v>0</v>
      </c>
      <c r="K38" s="98">
        <f t="shared" si="7"/>
        <v>0</v>
      </c>
      <c r="L38" s="98">
        <f t="shared" si="8"/>
        <v>7937</v>
      </c>
      <c r="M38" s="98">
        <f t="shared" si="9"/>
        <v>7937</v>
      </c>
      <c r="N38" s="99" t="s">
        <v>611</v>
      </c>
    </row>
    <row r="39" spans="1:14" ht="16.5" customHeight="1">
      <c r="A39" s="95" t="s">
        <v>761</v>
      </c>
      <c r="B39" s="96" t="s">
        <v>762</v>
      </c>
      <c r="C39" s="96" t="s">
        <v>613</v>
      </c>
      <c r="D39" s="95" t="s">
        <v>34</v>
      </c>
      <c r="E39" s="97">
        <v>1</v>
      </c>
      <c r="F39" s="98">
        <f>일위대가표!F189</f>
        <v>279</v>
      </c>
      <c r="G39" s="98">
        <f t="shared" si="5"/>
        <v>279</v>
      </c>
      <c r="H39" s="98">
        <f>일위대가표!H189</f>
        <v>0</v>
      </c>
      <c r="I39" s="98">
        <f t="shared" si="6"/>
        <v>0</v>
      </c>
      <c r="J39" s="98">
        <f>일위대가표!J189</f>
        <v>0</v>
      </c>
      <c r="K39" s="98">
        <f t="shared" si="7"/>
        <v>0</v>
      </c>
      <c r="L39" s="98">
        <f t="shared" si="8"/>
        <v>279</v>
      </c>
      <c r="M39" s="98">
        <f t="shared" si="9"/>
        <v>279</v>
      </c>
      <c r="N39" s="99" t="s">
        <v>611</v>
      </c>
    </row>
    <row r="40" spans="1:14" ht="16.5" customHeight="1">
      <c r="A40" s="95" t="s">
        <v>763</v>
      </c>
      <c r="B40" s="96" t="s">
        <v>764</v>
      </c>
      <c r="C40" s="96" t="s">
        <v>615</v>
      </c>
      <c r="D40" s="95" t="s">
        <v>26</v>
      </c>
      <c r="E40" s="97">
        <v>1</v>
      </c>
      <c r="F40" s="98">
        <f>일위대가표!F195</f>
        <v>8858</v>
      </c>
      <c r="G40" s="98">
        <f t="shared" si="5"/>
        <v>8858</v>
      </c>
      <c r="H40" s="98">
        <f>일위대가표!H195</f>
        <v>7949</v>
      </c>
      <c r="I40" s="98">
        <f t="shared" si="6"/>
        <v>7949</v>
      </c>
      <c r="J40" s="98">
        <f>일위대가표!J195</f>
        <v>0</v>
      </c>
      <c r="K40" s="98">
        <f t="shared" si="7"/>
        <v>0</v>
      </c>
      <c r="L40" s="98">
        <f t="shared" si="8"/>
        <v>16807</v>
      </c>
      <c r="M40" s="98">
        <f t="shared" si="9"/>
        <v>16807</v>
      </c>
      <c r="N40" s="99" t="s">
        <v>616</v>
      </c>
    </row>
    <row r="41" spans="1:14" ht="16.5" customHeight="1">
      <c r="A41" s="95" t="s">
        <v>765</v>
      </c>
      <c r="B41" s="96" t="s">
        <v>691</v>
      </c>
      <c r="C41" s="96" t="s">
        <v>618</v>
      </c>
      <c r="D41" s="95" t="s">
        <v>26</v>
      </c>
      <c r="E41" s="97">
        <v>1</v>
      </c>
      <c r="F41" s="98">
        <f>일위대가표!F200</f>
        <v>1873</v>
      </c>
      <c r="G41" s="98">
        <f t="shared" si="5"/>
        <v>1873</v>
      </c>
      <c r="H41" s="98">
        <f>일위대가표!H200</f>
        <v>3218</v>
      </c>
      <c r="I41" s="98">
        <f t="shared" si="6"/>
        <v>3218</v>
      </c>
      <c r="J41" s="98">
        <f>일위대가표!J200</f>
        <v>0</v>
      </c>
      <c r="K41" s="98">
        <f t="shared" si="7"/>
        <v>0</v>
      </c>
      <c r="L41" s="98">
        <f t="shared" si="8"/>
        <v>5091</v>
      </c>
      <c r="M41" s="98">
        <f t="shared" si="9"/>
        <v>5091</v>
      </c>
      <c r="N41" s="99" t="s">
        <v>619</v>
      </c>
    </row>
    <row r="42" spans="1:14" ht="16.5" customHeight="1">
      <c r="A42" s="95" t="s">
        <v>766</v>
      </c>
      <c r="B42" s="96" t="s">
        <v>767</v>
      </c>
      <c r="C42" s="96" t="s">
        <v>37</v>
      </c>
      <c r="D42" s="95" t="s">
        <v>26</v>
      </c>
      <c r="E42" s="97">
        <v>1</v>
      </c>
      <c r="F42" s="98">
        <f>일위대가표!F211</f>
        <v>13895</v>
      </c>
      <c r="G42" s="98">
        <f t="shared" si="5"/>
        <v>13895</v>
      </c>
      <c r="H42" s="98">
        <f>일위대가표!H211</f>
        <v>10896</v>
      </c>
      <c r="I42" s="98">
        <f t="shared" si="6"/>
        <v>10896</v>
      </c>
      <c r="J42" s="98">
        <f>일위대가표!J211</f>
        <v>0</v>
      </c>
      <c r="K42" s="98">
        <f t="shared" si="7"/>
        <v>0</v>
      </c>
      <c r="L42" s="98">
        <f t="shared" si="8"/>
        <v>24791</v>
      </c>
      <c r="M42" s="98">
        <f t="shared" si="9"/>
        <v>24791</v>
      </c>
      <c r="N42" s="99" t="s">
        <v>19</v>
      </c>
    </row>
    <row r="43" spans="1:14" ht="16.5" customHeight="1">
      <c r="A43" s="95" t="s">
        <v>651</v>
      </c>
      <c r="B43" s="96" t="s">
        <v>648</v>
      </c>
      <c r="C43" s="96" t="s">
        <v>629</v>
      </c>
      <c r="D43" s="95" t="s">
        <v>26</v>
      </c>
      <c r="E43" s="97">
        <v>1</v>
      </c>
      <c r="F43" s="98">
        <f>일위대가표!F217</f>
        <v>1962</v>
      </c>
      <c r="G43" s="98">
        <f t="shared" si="5"/>
        <v>1962</v>
      </c>
      <c r="H43" s="98">
        <f>일위대가표!H217</f>
        <v>4104</v>
      </c>
      <c r="I43" s="98">
        <f t="shared" si="6"/>
        <v>4104</v>
      </c>
      <c r="J43" s="98">
        <f>일위대가표!J217</f>
        <v>0</v>
      </c>
      <c r="K43" s="98">
        <f t="shared" si="7"/>
        <v>0</v>
      </c>
      <c r="L43" s="98">
        <f t="shared" si="8"/>
        <v>6066</v>
      </c>
      <c r="M43" s="98">
        <f t="shared" si="9"/>
        <v>6066</v>
      </c>
      <c r="N43" s="99" t="s">
        <v>630</v>
      </c>
    </row>
    <row r="44" spans="1:14" ht="16.5" customHeight="1">
      <c r="A44" s="95" t="s">
        <v>654</v>
      </c>
      <c r="B44" s="96" t="s">
        <v>652</v>
      </c>
      <c r="C44" s="96" t="s">
        <v>629</v>
      </c>
      <c r="D44" s="95" t="s">
        <v>26</v>
      </c>
      <c r="E44" s="97">
        <v>1</v>
      </c>
      <c r="F44" s="98">
        <f>일위대가표!F223</f>
        <v>2003</v>
      </c>
      <c r="G44" s="98">
        <f t="shared" si="5"/>
        <v>2003</v>
      </c>
      <c r="H44" s="98">
        <f>일위대가표!H223</f>
        <v>8208</v>
      </c>
      <c r="I44" s="98">
        <f t="shared" si="6"/>
        <v>8208</v>
      </c>
      <c r="J44" s="98">
        <f>일위대가표!J223</f>
        <v>0</v>
      </c>
      <c r="K44" s="98">
        <f t="shared" si="7"/>
        <v>0</v>
      </c>
      <c r="L44" s="98">
        <f t="shared" si="8"/>
        <v>10211</v>
      </c>
      <c r="M44" s="98">
        <f t="shared" si="9"/>
        <v>10211</v>
      </c>
      <c r="N44" s="99" t="s">
        <v>630</v>
      </c>
    </row>
    <row r="45" spans="1:14" ht="16.5" customHeight="1">
      <c r="A45" s="95" t="s">
        <v>768</v>
      </c>
      <c r="B45" s="96" t="s">
        <v>769</v>
      </c>
      <c r="C45" s="96" t="s">
        <v>633</v>
      </c>
      <c r="D45" s="95" t="s">
        <v>26</v>
      </c>
      <c r="E45" s="97">
        <v>1</v>
      </c>
      <c r="F45" s="98">
        <f>일위대가표!F228</f>
        <v>4079</v>
      </c>
      <c r="G45" s="98">
        <f t="shared" si="5"/>
        <v>4079</v>
      </c>
      <c r="H45" s="98">
        <f>일위대가표!H228</f>
        <v>6220</v>
      </c>
      <c r="I45" s="98">
        <f t="shared" si="6"/>
        <v>6220</v>
      </c>
      <c r="J45" s="98">
        <f>일위대가표!J228</f>
        <v>0</v>
      </c>
      <c r="K45" s="98">
        <f t="shared" si="7"/>
        <v>0</v>
      </c>
      <c r="L45" s="98">
        <f t="shared" si="8"/>
        <v>10299</v>
      </c>
      <c r="M45" s="98">
        <f t="shared" si="9"/>
        <v>10299</v>
      </c>
      <c r="N45" s="99" t="s">
        <v>634</v>
      </c>
    </row>
    <row r="46" spans="1:14" ht="16.5" customHeight="1">
      <c r="A46" s="95" t="s">
        <v>770</v>
      </c>
      <c r="B46" s="96" t="s">
        <v>771</v>
      </c>
      <c r="C46" s="96" t="s">
        <v>636</v>
      </c>
      <c r="D46" s="95" t="s">
        <v>26</v>
      </c>
      <c r="E46" s="97">
        <v>1</v>
      </c>
      <c r="F46" s="98">
        <f>일위대가표!F234</f>
        <v>3964</v>
      </c>
      <c r="G46" s="98">
        <f t="shared" si="5"/>
        <v>3964</v>
      </c>
      <c r="H46" s="98">
        <f>일위대가표!H234</f>
        <v>6220</v>
      </c>
      <c r="I46" s="98">
        <f t="shared" si="6"/>
        <v>6220</v>
      </c>
      <c r="J46" s="98">
        <f>일위대가표!J234</f>
        <v>0</v>
      </c>
      <c r="K46" s="98">
        <f t="shared" si="7"/>
        <v>0</v>
      </c>
      <c r="L46" s="98">
        <f t="shared" si="8"/>
        <v>10184</v>
      </c>
      <c r="M46" s="98">
        <f t="shared" si="9"/>
        <v>10184</v>
      </c>
      <c r="N46" s="99" t="s">
        <v>634</v>
      </c>
    </row>
    <row r="47" spans="1:14" ht="16.5" customHeight="1">
      <c r="A47" s="95" t="s">
        <v>772</v>
      </c>
      <c r="B47" s="96" t="s">
        <v>773</v>
      </c>
      <c r="C47" s="96" t="s">
        <v>19</v>
      </c>
      <c r="D47" s="95" t="s">
        <v>26</v>
      </c>
      <c r="E47" s="97">
        <v>1</v>
      </c>
      <c r="F47" s="98">
        <f>일위대가표!F240</f>
        <v>435</v>
      </c>
      <c r="G47" s="98">
        <f t="shared" si="5"/>
        <v>435</v>
      </c>
      <c r="H47" s="98">
        <f>일위대가표!H240</f>
        <v>2319</v>
      </c>
      <c r="I47" s="98">
        <f t="shared" si="6"/>
        <v>2319</v>
      </c>
      <c r="J47" s="98">
        <f>일위대가표!J240</f>
        <v>0</v>
      </c>
      <c r="K47" s="98">
        <f t="shared" si="7"/>
        <v>0</v>
      </c>
      <c r="L47" s="98">
        <f t="shared" si="8"/>
        <v>2754</v>
      </c>
      <c r="M47" s="98">
        <f t="shared" si="9"/>
        <v>2754</v>
      </c>
      <c r="N47" s="99" t="s">
        <v>638</v>
      </c>
    </row>
    <row r="48" spans="1:14" ht="16.5" customHeight="1">
      <c r="A48" s="95" t="s">
        <v>774</v>
      </c>
      <c r="B48" s="96" t="s">
        <v>775</v>
      </c>
      <c r="C48" s="96" t="s">
        <v>932</v>
      </c>
      <c r="D48" s="95" t="s">
        <v>26</v>
      </c>
      <c r="E48" s="97">
        <v>1</v>
      </c>
      <c r="F48" s="98">
        <f>일위대가표!F247</f>
        <v>7534</v>
      </c>
      <c r="G48" s="98">
        <f t="shared" si="5"/>
        <v>7534</v>
      </c>
      <c r="H48" s="98">
        <f>일위대가표!H247</f>
        <v>7558</v>
      </c>
      <c r="I48" s="98">
        <f t="shared" si="6"/>
        <v>7558</v>
      </c>
      <c r="J48" s="98">
        <f>일위대가표!J247</f>
        <v>0</v>
      </c>
      <c r="K48" s="98">
        <f t="shared" si="7"/>
        <v>0</v>
      </c>
      <c r="L48" s="98">
        <f t="shared" si="8"/>
        <v>15092</v>
      </c>
      <c r="M48" s="98">
        <f t="shared" si="9"/>
        <v>15092</v>
      </c>
      <c r="N48" s="99" t="s">
        <v>640</v>
      </c>
    </row>
    <row r="49" spans="1:14" ht="16.5" customHeight="1">
      <c r="A49" s="95" t="s">
        <v>776</v>
      </c>
      <c r="B49" s="96" t="s">
        <v>777</v>
      </c>
      <c r="C49" s="96" t="s">
        <v>642</v>
      </c>
      <c r="D49" s="95" t="s">
        <v>26</v>
      </c>
      <c r="E49" s="97">
        <v>1</v>
      </c>
      <c r="F49" s="98">
        <f>일위대가표!F253</f>
        <v>28670</v>
      </c>
      <c r="G49" s="98">
        <f t="shared" si="5"/>
        <v>28670</v>
      </c>
      <c r="H49" s="98">
        <f>일위대가표!H253</f>
        <v>6241</v>
      </c>
      <c r="I49" s="98">
        <f t="shared" si="6"/>
        <v>6241</v>
      </c>
      <c r="J49" s="98">
        <f>일위대가표!J253</f>
        <v>0</v>
      </c>
      <c r="K49" s="98">
        <f t="shared" si="7"/>
        <v>0</v>
      </c>
      <c r="L49" s="98">
        <f t="shared" si="8"/>
        <v>34911</v>
      </c>
      <c r="M49" s="98">
        <f t="shared" si="9"/>
        <v>34911</v>
      </c>
      <c r="N49" s="99" t="s">
        <v>640</v>
      </c>
    </row>
    <row r="50" spans="1:14" ht="16.5" customHeight="1">
      <c r="A50" s="95" t="s">
        <v>778</v>
      </c>
      <c r="B50" s="96" t="s">
        <v>779</v>
      </c>
      <c r="C50" s="96" t="s">
        <v>644</v>
      </c>
      <c r="D50" s="95" t="s">
        <v>26</v>
      </c>
      <c r="E50" s="97">
        <v>1</v>
      </c>
      <c r="F50" s="98">
        <f>일위대가표!F260</f>
        <v>11304</v>
      </c>
      <c r="G50" s="98">
        <f t="shared" si="5"/>
        <v>11304</v>
      </c>
      <c r="H50" s="98">
        <f>일위대가표!H260</f>
        <v>33826</v>
      </c>
      <c r="I50" s="98">
        <f t="shared" si="6"/>
        <v>33826</v>
      </c>
      <c r="J50" s="98">
        <f>일위대가표!J260</f>
        <v>0</v>
      </c>
      <c r="K50" s="98">
        <f t="shared" si="7"/>
        <v>0</v>
      </c>
      <c r="L50" s="98">
        <f t="shared" si="8"/>
        <v>45130</v>
      </c>
      <c r="M50" s="98">
        <f t="shared" si="9"/>
        <v>45130</v>
      </c>
      <c r="N50" s="99" t="s">
        <v>477</v>
      </c>
    </row>
    <row r="51" spans="1:14" ht="16.5" customHeight="1">
      <c r="A51" s="95" t="s">
        <v>647</v>
      </c>
      <c r="B51" s="96" t="s">
        <v>645</v>
      </c>
      <c r="C51" s="96" t="s">
        <v>646</v>
      </c>
      <c r="D51" s="95" t="s">
        <v>26</v>
      </c>
      <c r="E51" s="97">
        <v>1</v>
      </c>
      <c r="F51" s="98">
        <f>일위대가표!F270</f>
        <v>478</v>
      </c>
      <c r="G51" s="98">
        <f t="shared" si="5"/>
        <v>478</v>
      </c>
      <c r="H51" s="98">
        <f>일위대가표!H270</f>
        <v>9202</v>
      </c>
      <c r="I51" s="98">
        <f t="shared" si="6"/>
        <v>9202</v>
      </c>
      <c r="J51" s="98">
        <f>일위대가표!J270</f>
        <v>0</v>
      </c>
      <c r="K51" s="98">
        <f t="shared" si="7"/>
        <v>0</v>
      </c>
      <c r="L51" s="98">
        <f t="shared" si="8"/>
        <v>9680</v>
      </c>
      <c r="M51" s="98">
        <f t="shared" si="9"/>
        <v>9680</v>
      </c>
      <c r="N51" s="99" t="s">
        <v>477</v>
      </c>
    </row>
    <row r="52" spans="1:14" ht="16.5" customHeight="1">
      <c r="A52" s="95" t="s">
        <v>650</v>
      </c>
      <c r="B52" s="96" t="s">
        <v>648</v>
      </c>
      <c r="C52" s="96" t="s">
        <v>649</v>
      </c>
      <c r="D52" s="95" t="s">
        <v>26</v>
      </c>
      <c r="E52" s="97">
        <v>1</v>
      </c>
      <c r="F52" s="98">
        <f>일위대가표!F276</f>
        <v>3410</v>
      </c>
      <c r="G52" s="98">
        <f t="shared" si="5"/>
        <v>3410</v>
      </c>
      <c r="H52" s="98">
        <f>일위대가표!H276</f>
        <v>4104</v>
      </c>
      <c r="I52" s="98">
        <f t="shared" si="6"/>
        <v>4104</v>
      </c>
      <c r="J52" s="98">
        <f>일위대가표!J276</f>
        <v>0</v>
      </c>
      <c r="K52" s="98">
        <f t="shared" si="7"/>
        <v>0</v>
      </c>
      <c r="L52" s="98">
        <f t="shared" si="8"/>
        <v>7514</v>
      </c>
      <c r="M52" s="98">
        <f t="shared" si="9"/>
        <v>7514</v>
      </c>
      <c r="N52" s="99" t="s">
        <v>630</v>
      </c>
    </row>
    <row r="53" spans="1:14" ht="16.5" customHeight="1">
      <c r="A53" s="95" t="s">
        <v>653</v>
      </c>
      <c r="B53" s="96" t="s">
        <v>652</v>
      </c>
      <c r="C53" s="96" t="s">
        <v>649</v>
      </c>
      <c r="D53" s="95" t="s">
        <v>26</v>
      </c>
      <c r="E53" s="97">
        <v>1</v>
      </c>
      <c r="F53" s="98">
        <f>일위대가표!F282</f>
        <v>3451</v>
      </c>
      <c r="G53" s="98">
        <f t="shared" si="5"/>
        <v>3451</v>
      </c>
      <c r="H53" s="98">
        <f>일위대가표!H282</f>
        <v>8208</v>
      </c>
      <c r="I53" s="98">
        <f t="shared" si="6"/>
        <v>8208</v>
      </c>
      <c r="J53" s="98">
        <f>일위대가표!J282</f>
        <v>0</v>
      </c>
      <c r="K53" s="98">
        <f t="shared" si="7"/>
        <v>0</v>
      </c>
      <c r="L53" s="98">
        <f t="shared" si="8"/>
        <v>11659</v>
      </c>
      <c r="M53" s="98">
        <f t="shared" si="9"/>
        <v>11659</v>
      </c>
      <c r="N53" s="99" t="s">
        <v>630</v>
      </c>
    </row>
    <row r="54" spans="1:14" ht="16.5" customHeight="1">
      <c r="A54" s="95" t="s">
        <v>780</v>
      </c>
      <c r="B54" s="96" t="s">
        <v>781</v>
      </c>
      <c r="C54" s="96" t="s">
        <v>668</v>
      </c>
      <c r="D54" s="95" t="s">
        <v>26</v>
      </c>
      <c r="E54" s="97">
        <v>1</v>
      </c>
      <c r="F54" s="98">
        <f>일위대가표!F289</f>
        <v>48697</v>
      </c>
      <c r="G54" s="98">
        <f t="shared" si="5"/>
        <v>48697</v>
      </c>
      <c r="H54" s="98">
        <f>일위대가표!H289</f>
        <v>7566</v>
      </c>
      <c r="I54" s="98">
        <f t="shared" si="6"/>
        <v>7566</v>
      </c>
      <c r="J54" s="98">
        <f>일위대가표!J289</f>
        <v>0</v>
      </c>
      <c r="K54" s="98">
        <f t="shared" si="7"/>
        <v>0</v>
      </c>
      <c r="L54" s="98">
        <f t="shared" si="8"/>
        <v>56263</v>
      </c>
      <c r="M54" s="98">
        <f t="shared" si="9"/>
        <v>56263</v>
      </c>
      <c r="N54" s="99" t="s">
        <v>19</v>
      </c>
    </row>
    <row r="55" spans="1:14" ht="16.5" customHeight="1">
      <c r="A55" s="95" t="s">
        <v>782</v>
      </c>
      <c r="B55" s="96" t="s">
        <v>783</v>
      </c>
      <c r="C55" s="96" t="s">
        <v>672</v>
      </c>
      <c r="D55" s="95" t="s">
        <v>34</v>
      </c>
      <c r="E55" s="97">
        <v>1</v>
      </c>
      <c r="F55" s="98">
        <f>일위대가표!F295</f>
        <v>2286</v>
      </c>
      <c r="G55" s="98">
        <f t="shared" si="5"/>
        <v>2286</v>
      </c>
      <c r="H55" s="98">
        <f>일위대가표!H295</f>
        <v>3445</v>
      </c>
      <c r="I55" s="98">
        <f t="shared" si="6"/>
        <v>3445</v>
      </c>
      <c r="J55" s="98">
        <f>일위대가표!J295</f>
        <v>0</v>
      </c>
      <c r="K55" s="98">
        <f t="shared" si="7"/>
        <v>0</v>
      </c>
      <c r="L55" s="98">
        <f t="shared" si="8"/>
        <v>5731</v>
      </c>
      <c r="M55" s="98">
        <f t="shared" si="9"/>
        <v>5731</v>
      </c>
      <c r="N55" s="99" t="s">
        <v>673</v>
      </c>
    </row>
    <row r="56" spans="1:14" ht="16.5" customHeight="1">
      <c r="A56" s="95" t="s">
        <v>784</v>
      </c>
      <c r="B56" s="96" t="s">
        <v>785</v>
      </c>
      <c r="C56" s="96" t="s">
        <v>676</v>
      </c>
      <c r="D56" s="95" t="s">
        <v>34</v>
      </c>
      <c r="E56" s="97">
        <v>1</v>
      </c>
      <c r="F56" s="98">
        <f>일위대가표!F301</f>
        <v>2762</v>
      </c>
      <c r="G56" s="98">
        <f t="shared" si="5"/>
        <v>2762</v>
      </c>
      <c r="H56" s="98">
        <f>일위대가표!H301</f>
        <v>3186</v>
      </c>
      <c r="I56" s="98">
        <f t="shared" si="6"/>
        <v>3186</v>
      </c>
      <c r="J56" s="98">
        <f>일위대가표!J301</f>
        <v>0</v>
      </c>
      <c r="K56" s="98">
        <f t="shared" si="7"/>
        <v>0</v>
      </c>
      <c r="L56" s="98">
        <f t="shared" si="8"/>
        <v>5948</v>
      </c>
      <c r="M56" s="98">
        <f t="shared" si="9"/>
        <v>5948</v>
      </c>
      <c r="N56" s="99" t="s">
        <v>477</v>
      </c>
    </row>
    <row r="57" spans="1:14" ht="16.5" customHeight="1">
      <c r="A57" s="95" t="s">
        <v>786</v>
      </c>
      <c r="B57" s="96" t="s">
        <v>926</v>
      </c>
      <c r="C57" s="96" t="s">
        <v>904</v>
      </c>
      <c r="D57" s="95" t="s">
        <v>237</v>
      </c>
      <c r="E57" s="97">
        <v>1</v>
      </c>
      <c r="F57" s="98">
        <f>일위대가표!F305</f>
        <v>738</v>
      </c>
      <c r="G57" s="98">
        <f t="shared" si="5"/>
        <v>738</v>
      </c>
      <c r="H57" s="98">
        <f>일위대가표!H305</f>
        <v>4129</v>
      </c>
      <c r="I57" s="98">
        <f t="shared" si="6"/>
        <v>4129</v>
      </c>
      <c r="J57" s="98">
        <f>일위대가표!J305</f>
        <v>0</v>
      </c>
      <c r="K57" s="98">
        <f t="shared" si="7"/>
        <v>0</v>
      </c>
      <c r="L57" s="98">
        <f t="shared" si="8"/>
        <v>4867</v>
      </c>
      <c r="M57" s="98">
        <f t="shared" si="9"/>
        <v>4867</v>
      </c>
      <c r="N57" s="99" t="s">
        <v>19</v>
      </c>
    </row>
    <row r="58" spans="1:14" ht="16.5" customHeight="1">
      <c r="A58" s="95" t="s">
        <v>788</v>
      </c>
      <c r="B58" s="96" t="s">
        <v>789</v>
      </c>
      <c r="C58" s="96" t="s">
        <v>905</v>
      </c>
      <c r="D58" s="95" t="s">
        <v>26</v>
      </c>
      <c r="E58" s="97">
        <v>1</v>
      </c>
      <c r="F58" s="98">
        <f>일위대가표!F312</f>
        <v>689</v>
      </c>
      <c r="G58" s="98">
        <f t="shared" si="5"/>
        <v>689</v>
      </c>
      <c r="H58" s="98">
        <f>일위대가표!H312</f>
        <v>3213</v>
      </c>
      <c r="I58" s="98">
        <f t="shared" si="6"/>
        <v>3213</v>
      </c>
      <c r="J58" s="98">
        <f>일위대가표!J312</f>
        <v>0</v>
      </c>
      <c r="K58" s="98">
        <f t="shared" si="7"/>
        <v>0</v>
      </c>
      <c r="L58" s="98">
        <f t="shared" si="8"/>
        <v>3902</v>
      </c>
      <c r="M58" s="98">
        <f t="shared" si="9"/>
        <v>3902</v>
      </c>
      <c r="N58" s="99" t="s">
        <v>681</v>
      </c>
    </row>
    <row r="59" spans="1:14" ht="16.5" customHeight="1">
      <c r="A59" s="95" t="s">
        <v>684</v>
      </c>
      <c r="B59" s="96" t="s">
        <v>682</v>
      </c>
      <c r="C59" s="96" t="s">
        <v>683</v>
      </c>
      <c r="D59" s="95" t="s">
        <v>26</v>
      </c>
      <c r="E59" s="97">
        <v>1</v>
      </c>
      <c r="F59" s="98">
        <f>일위대가표!F318</f>
        <v>174</v>
      </c>
      <c r="G59" s="98">
        <f t="shared" si="5"/>
        <v>174</v>
      </c>
      <c r="H59" s="98">
        <f>일위대가표!H318</f>
        <v>916</v>
      </c>
      <c r="I59" s="98">
        <f t="shared" si="6"/>
        <v>916</v>
      </c>
      <c r="J59" s="98">
        <f>일위대가표!J318</f>
        <v>0</v>
      </c>
      <c r="K59" s="98">
        <f t="shared" si="7"/>
        <v>0</v>
      </c>
      <c r="L59" s="98">
        <f t="shared" si="8"/>
        <v>1090</v>
      </c>
      <c r="M59" s="98">
        <f t="shared" si="9"/>
        <v>1090</v>
      </c>
      <c r="N59" s="99" t="s">
        <v>687</v>
      </c>
    </row>
    <row r="60" spans="1:14" ht="16.5" customHeight="1">
      <c r="A60" s="95" t="s">
        <v>790</v>
      </c>
      <c r="B60" s="96" t="s">
        <v>682</v>
      </c>
      <c r="C60" s="96" t="s">
        <v>906</v>
      </c>
      <c r="D60" s="95" t="s">
        <v>26</v>
      </c>
      <c r="E60" s="97">
        <v>1</v>
      </c>
      <c r="F60" s="98">
        <f>일위대가표!F324</f>
        <v>49</v>
      </c>
      <c r="G60" s="98">
        <f t="shared" si="5"/>
        <v>49</v>
      </c>
      <c r="H60" s="98">
        <f>일위대가표!H324</f>
        <v>916</v>
      </c>
      <c r="I60" s="98">
        <f t="shared" si="6"/>
        <v>916</v>
      </c>
      <c r="J60" s="98">
        <f>일위대가표!J324</f>
        <v>0</v>
      </c>
      <c r="K60" s="98">
        <f t="shared" si="7"/>
        <v>0</v>
      </c>
      <c r="L60" s="98">
        <f t="shared" si="8"/>
        <v>965</v>
      </c>
      <c r="M60" s="98">
        <f t="shared" si="9"/>
        <v>965</v>
      </c>
      <c r="N60" s="99" t="s">
        <v>908</v>
      </c>
    </row>
    <row r="61" spans="1:14" ht="16.5" customHeight="1">
      <c r="A61" s="95" t="s">
        <v>792</v>
      </c>
      <c r="B61" s="96" t="s">
        <v>787</v>
      </c>
      <c r="C61" s="96" t="s">
        <v>677</v>
      </c>
      <c r="D61" s="95" t="s">
        <v>26</v>
      </c>
      <c r="E61" s="97">
        <v>1</v>
      </c>
      <c r="F61" s="98">
        <f>일위대가표!F334</f>
        <v>437</v>
      </c>
      <c r="G61" s="98">
        <f t="shared" si="5"/>
        <v>437</v>
      </c>
      <c r="H61" s="98">
        <f>일위대가표!H334</f>
        <v>9202</v>
      </c>
      <c r="I61" s="98">
        <f t="shared" si="6"/>
        <v>9202</v>
      </c>
      <c r="J61" s="98">
        <f>일위대가표!J334</f>
        <v>0</v>
      </c>
      <c r="K61" s="98">
        <f t="shared" si="7"/>
        <v>0</v>
      </c>
      <c r="L61" s="98">
        <f t="shared" si="8"/>
        <v>9639</v>
      </c>
      <c r="M61" s="98">
        <f t="shared" si="9"/>
        <v>9639</v>
      </c>
      <c r="N61" s="99" t="s">
        <v>477</v>
      </c>
    </row>
    <row r="62" spans="1:14" ht="16.5" customHeight="1">
      <c r="A62" s="95" t="s">
        <v>693</v>
      </c>
      <c r="B62" s="96" t="s">
        <v>791</v>
      </c>
      <c r="C62" s="96" t="s">
        <v>688</v>
      </c>
      <c r="D62" s="95" t="s">
        <v>34</v>
      </c>
      <c r="E62" s="97">
        <v>1</v>
      </c>
      <c r="F62" s="98">
        <f>일위대가표!F335</f>
        <v>6649</v>
      </c>
      <c r="G62" s="98">
        <f t="shared" si="5"/>
        <v>6649</v>
      </c>
      <c r="H62" s="98">
        <f>일위대가표!H335</f>
        <v>10847</v>
      </c>
      <c r="I62" s="98">
        <f t="shared" si="6"/>
        <v>10847</v>
      </c>
      <c r="J62" s="98">
        <f>일위대가표!J335</f>
        <v>0</v>
      </c>
      <c r="K62" s="98">
        <f t="shared" si="7"/>
        <v>0</v>
      </c>
      <c r="L62" s="98">
        <f t="shared" si="8"/>
        <v>17496</v>
      </c>
      <c r="M62" s="98">
        <f t="shared" si="9"/>
        <v>17496</v>
      </c>
      <c r="N62" s="99" t="s">
        <v>689</v>
      </c>
    </row>
    <row r="63" spans="1:14" ht="16.5" customHeight="1">
      <c r="A63" s="95" t="s">
        <v>794</v>
      </c>
      <c r="B63" s="96" t="s">
        <v>793</v>
      </c>
      <c r="C63" s="96" t="s">
        <v>690</v>
      </c>
      <c r="D63" s="95" t="s">
        <v>26</v>
      </c>
      <c r="E63" s="97">
        <v>1</v>
      </c>
      <c r="F63" s="98">
        <f>일위대가표!F343</f>
        <v>11723</v>
      </c>
      <c r="G63" s="98">
        <f t="shared" si="5"/>
        <v>11723</v>
      </c>
      <c r="H63" s="98">
        <f>일위대가표!H343</f>
        <v>8709</v>
      </c>
      <c r="I63" s="98">
        <f t="shared" si="6"/>
        <v>8709</v>
      </c>
      <c r="J63" s="98">
        <f>일위대가표!J343</f>
        <v>0</v>
      </c>
      <c r="K63" s="98">
        <f t="shared" si="7"/>
        <v>0</v>
      </c>
      <c r="L63" s="98">
        <f t="shared" si="8"/>
        <v>20432</v>
      </c>
      <c r="M63" s="98">
        <f t="shared" si="9"/>
        <v>20432</v>
      </c>
      <c r="N63" s="99" t="s">
        <v>19</v>
      </c>
    </row>
    <row r="64" spans="1:14" ht="16.5" customHeight="1">
      <c r="A64" s="95" t="s">
        <v>796</v>
      </c>
      <c r="B64" s="96" t="s">
        <v>691</v>
      </c>
      <c r="C64" s="96" t="s">
        <v>692</v>
      </c>
      <c r="D64" s="95" t="s">
        <v>26</v>
      </c>
      <c r="E64" s="97">
        <v>1</v>
      </c>
      <c r="F64" s="98">
        <f>일위대가표!F348</f>
        <v>4182</v>
      </c>
      <c r="G64" s="98">
        <f t="shared" si="5"/>
        <v>4182</v>
      </c>
      <c r="H64" s="98">
        <f>일위대가표!H348</f>
        <v>3218</v>
      </c>
      <c r="I64" s="98">
        <f t="shared" si="6"/>
        <v>3218</v>
      </c>
      <c r="J64" s="98">
        <f>일위대가표!J348</f>
        <v>0</v>
      </c>
      <c r="K64" s="98">
        <f t="shared" si="7"/>
        <v>0</v>
      </c>
      <c r="L64" s="98">
        <f t="shared" si="8"/>
        <v>7400</v>
      </c>
      <c r="M64" s="98">
        <f t="shared" si="9"/>
        <v>7400</v>
      </c>
      <c r="N64" s="99" t="s">
        <v>619</v>
      </c>
    </row>
    <row r="65" spans="1:14" ht="16.5" customHeight="1">
      <c r="A65" s="95" t="s">
        <v>798</v>
      </c>
      <c r="B65" s="96" t="s">
        <v>795</v>
      </c>
      <c r="C65" s="96" t="s">
        <v>694</v>
      </c>
      <c r="D65" s="95" t="s">
        <v>26</v>
      </c>
      <c r="E65" s="97">
        <v>1</v>
      </c>
      <c r="F65" s="98">
        <f>일위대가표!F357</f>
        <v>128007</v>
      </c>
      <c r="G65" s="98">
        <f t="shared" si="5"/>
        <v>128007</v>
      </c>
      <c r="H65" s="98">
        <f>일위대가표!H357</f>
        <v>23458</v>
      </c>
      <c r="I65" s="98">
        <f t="shared" si="6"/>
        <v>23458</v>
      </c>
      <c r="J65" s="98">
        <f>일위대가표!J357</f>
        <v>0</v>
      </c>
      <c r="K65" s="98">
        <f t="shared" si="7"/>
        <v>0</v>
      </c>
      <c r="L65" s="98">
        <f t="shared" si="8"/>
        <v>151465</v>
      </c>
      <c r="M65" s="98">
        <f t="shared" si="9"/>
        <v>151465</v>
      </c>
      <c r="N65" s="99" t="s">
        <v>19</v>
      </c>
    </row>
    <row r="66" spans="1:14" ht="16.5" customHeight="1">
      <c r="A66" s="95" t="s">
        <v>700</v>
      </c>
      <c r="B66" s="96" t="s">
        <v>797</v>
      </c>
      <c r="C66" s="96" t="s">
        <v>695</v>
      </c>
      <c r="D66" s="95" t="s">
        <v>26</v>
      </c>
      <c r="E66" s="97">
        <v>1</v>
      </c>
      <c r="F66" s="98">
        <f>일위대가표!F363</f>
        <v>19593</v>
      </c>
      <c r="G66" s="98">
        <f t="shared" si="5"/>
        <v>19593</v>
      </c>
      <c r="H66" s="98">
        <f>일위대가표!H363</f>
        <v>8747</v>
      </c>
      <c r="I66" s="98">
        <f t="shared" si="6"/>
        <v>8747</v>
      </c>
      <c r="J66" s="98">
        <f>일위대가표!J363</f>
        <v>0</v>
      </c>
      <c r="K66" s="98">
        <f t="shared" si="7"/>
        <v>0</v>
      </c>
      <c r="L66" s="98">
        <f t="shared" si="8"/>
        <v>28340</v>
      </c>
      <c r="M66" s="98">
        <f t="shared" si="9"/>
        <v>28340</v>
      </c>
      <c r="N66" s="99" t="s">
        <v>477</v>
      </c>
    </row>
    <row r="67" spans="1:14" ht="16.5" customHeight="1">
      <c r="A67" s="95" t="s">
        <v>703</v>
      </c>
      <c r="B67" s="96" t="s">
        <v>799</v>
      </c>
      <c r="C67" s="96" t="s">
        <v>696</v>
      </c>
      <c r="D67" s="95" t="s">
        <v>697</v>
      </c>
      <c r="E67" s="97">
        <v>1</v>
      </c>
      <c r="F67" s="98">
        <f>일위대가표!F366</f>
        <v>56928</v>
      </c>
      <c r="G67" s="98">
        <f t="shared" si="5"/>
        <v>56928</v>
      </c>
      <c r="H67" s="98">
        <f>일위대가표!H366</f>
        <v>141528</v>
      </c>
      <c r="I67" s="98">
        <f t="shared" si="6"/>
        <v>141528</v>
      </c>
      <c r="J67" s="98">
        <f>일위대가표!J366</f>
        <v>528</v>
      </c>
      <c r="K67" s="98">
        <f t="shared" si="7"/>
        <v>528</v>
      </c>
      <c r="L67" s="98">
        <f t="shared" si="8"/>
        <v>198984</v>
      </c>
      <c r="M67" s="98">
        <f t="shared" si="9"/>
        <v>198984</v>
      </c>
      <c r="N67" s="99" t="s">
        <v>19</v>
      </c>
    </row>
    <row r="68" spans="1:14" ht="16.5" customHeight="1">
      <c r="A68" s="95" t="s">
        <v>800</v>
      </c>
      <c r="B68" s="96" t="s">
        <v>698</v>
      </c>
      <c r="C68" s="96" t="s">
        <v>699</v>
      </c>
      <c r="D68" s="95" t="s">
        <v>34</v>
      </c>
      <c r="E68" s="97">
        <v>1</v>
      </c>
      <c r="F68" s="98">
        <f>일위대가표!F371</f>
        <v>2372</v>
      </c>
      <c r="G68" s="98">
        <f t="shared" si="5"/>
        <v>2372</v>
      </c>
      <c r="H68" s="98">
        <f>일위대가표!H371</f>
        <v>5897</v>
      </c>
      <c r="I68" s="98">
        <f t="shared" si="6"/>
        <v>5897</v>
      </c>
      <c r="J68" s="98">
        <f>일위대가표!J371</f>
        <v>22</v>
      </c>
      <c r="K68" s="98">
        <f t="shared" si="7"/>
        <v>22</v>
      </c>
      <c r="L68" s="98">
        <f t="shared" si="8"/>
        <v>8291</v>
      </c>
      <c r="M68" s="98">
        <f t="shared" si="9"/>
        <v>8291</v>
      </c>
      <c r="N68" s="99" t="s">
        <v>19</v>
      </c>
    </row>
    <row r="69" spans="1:14" ht="16.5" customHeight="1">
      <c r="A69" s="95" t="s">
        <v>802</v>
      </c>
      <c r="B69" s="96" t="s">
        <v>701</v>
      </c>
      <c r="C69" s="96" t="s">
        <v>702</v>
      </c>
      <c r="D69" s="95" t="s">
        <v>26</v>
      </c>
      <c r="E69" s="97">
        <v>1</v>
      </c>
      <c r="F69" s="98">
        <f>일위대가표!F378</f>
        <v>752</v>
      </c>
      <c r="G69" s="98">
        <f t="shared" ref="G69:G77" si="10">E69*F69</f>
        <v>752</v>
      </c>
      <c r="H69" s="98">
        <f>일위대가표!H378</f>
        <v>1466</v>
      </c>
      <c r="I69" s="98">
        <f t="shared" ref="I69:I77" si="11">E69*H69</f>
        <v>1466</v>
      </c>
      <c r="J69" s="98">
        <f>일위대가표!J378</f>
        <v>0</v>
      </c>
      <c r="K69" s="98">
        <f t="shared" ref="K69:K77" si="12">E69*J69</f>
        <v>0</v>
      </c>
      <c r="L69" s="98">
        <f t="shared" ref="L69:L77" si="13">F69+H69+J69</f>
        <v>2218</v>
      </c>
      <c r="M69" s="98">
        <f t="shared" ref="M69:M77" si="14">G69+I69+K69</f>
        <v>2218</v>
      </c>
      <c r="N69" s="99" t="s">
        <v>704</v>
      </c>
    </row>
    <row r="70" spans="1:14" ht="16.5" customHeight="1">
      <c r="A70" s="95" t="s">
        <v>803</v>
      </c>
      <c r="B70" s="96" t="s">
        <v>801</v>
      </c>
      <c r="C70" s="96" t="s">
        <v>705</v>
      </c>
      <c r="D70" s="95" t="s">
        <v>26</v>
      </c>
      <c r="E70" s="97">
        <v>1</v>
      </c>
      <c r="F70" s="98">
        <f>일위대가표!F382</f>
        <v>0</v>
      </c>
      <c r="G70" s="98">
        <f t="shared" si="10"/>
        <v>0</v>
      </c>
      <c r="H70" s="98">
        <f>일위대가표!H382</f>
        <v>3306</v>
      </c>
      <c r="I70" s="98">
        <f t="shared" si="11"/>
        <v>3306</v>
      </c>
      <c r="J70" s="98">
        <f>일위대가표!J382</f>
        <v>0</v>
      </c>
      <c r="K70" s="98">
        <f t="shared" si="12"/>
        <v>0</v>
      </c>
      <c r="L70" s="98">
        <f t="shared" si="13"/>
        <v>3306</v>
      </c>
      <c r="M70" s="98">
        <f t="shared" si="14"/>
        <v>3306</v>
      </c>
      <c r="N70" s="99" t="s">
        <v>706</v>
      </c>
    </row>
    <row r="71" spans="1:14" ht="16.5" customHeight="1">
      <c r="A71" s="95" t="s">
        <v>805</v>
      </c>
      <c r="B71" s="96" t="s">
        <v>801</v>
      </c>
      <c r="C71" s="96" t="s">
        <v>707</v>
      </c>
      <c r="D71" s="95" t="s">
        <v>26</v>
      </c>
      <c r="E71" s="97">
        <v>1</v>
      </c>
      <c r="F71" s="98">
        <f>일위대가표!F386</f>
        <v>0</v>
      </c>
      <c r="G71" s="98">
        <f t="shared" si="10"/>
        <v>0</v>
      </c>
      <c r="H71" s="98">
        <f>일위대가표!H386</f>
        <v>6412</v>
      </c>
      <c r="I71" s="98">
        <f t="shared" si="11"/>
        <v>6412</v>
      </c>
      <c r="J71" s="98">
        <f>일위대가표!J386</f>
        <v>0</v>
      </c>
      <c r="K71" s="98">
        <f t="shared" si="12"/>
        <v>0</v>
      </c>
      <c r="L71" s="98">
        <f t="shared" si="13"/>
        <v>6412</v>
      </c>
      <c r="M71" s="98">
        <f t="shared" si="14"/>
        <v>6412</v>
      </c>
      <c r="N71" s="99" t="s">
        <v>706</v>
      </c>
    </row>
    <row r="72" spans="1:14" ht="16.5" customHeight="1">
      <c r="A72" s="95" t="s">
        <v>807</v>
      </c>
      <c r="B72" s="96" t="s">
        <v>804</v>
      </c>
      <c r="C72" s="96" t="s">
        <v>19</v>
      </c>
      <c r="D72" s="95" t="s">
        <v>26</v>
      </c>
      <c r="E72" s="97">
        <v>1</v>
      </c>
      <c r="F72" s="98">
        <f>일위대가표!F390</f>
        <v>0</v>
      </c>
      <c r="G72" s="98">
        <f t="shared" si="10"/>
        <v>0</v>
      </c>
      <c r="H72" s="98">
        <f>일위대가표!H390</f>
        <v>5354</v>
      </c>
      <c r="I72" s="98">
        <f t="shared" si="11"/>
        <v>5354</v>
      </c>
      <c r="J72" s="98">
        <f>일위대가표!J390</f>
        <v>0</v>
      </c>
      <c r="K72" s="98">
        <f t="shared" si="12"/>
        <v>0</v>
      </c>
      <c r="L72" s="98">
        <f t="shared" si="13"/>
        <v>5354</v>
      </c>
      <c r="M72" s="98">
        <f t="shared" si="14"/>
        <v>5354</v>
      </c>
      <c r="N72" s="99" t="s">
        <v>708</v>
      </c>
    </row>
    <row r="73" spans="1:14" ht="16.5" customHeight="1">
      <c r="A73" s="95" t="s">
        <v>809</v>
      </c>
      <c r="B73" s="96" t="s">
        <v>806</v>
      </c>
      <c r="C73" s="96" t="s">
        <v>19</v>
      </c>
      <c r="D73" s="95" t="s">
        <v>26</v>
      </c>
      <c r="E73" s="97">
        <v>1</v>
      </c>
      <c r="F73" s="98">
        <f>일위대가표!F394</f>
        <v>0</v>
      </c>
      <c r="G73" s="98">
        <f t="shared" si="10"/>
        <v>0</v>
      </c>
      <c r="H73" s="98">
        <f>일위대가표!H394</f>
        <v>7695</v>
      </c>
      <c r="I73" s="98">
        <f t="shared" si="11"/>
        <v>7695</v>
      </c>
      <c r="J73" s="98">
        <f>일위대가표!J394</f>
        <v>0</v>
      </c>
      <c r="K73" s="98">
        <f t="shared" si="12"/>
        <v>0</v>
      </c>
      <c r="L73" s="98">
        <f t="shared" si="13"/>
        <v>7695</v>
      </c>
      <c r="M73" s="98">
        <f t="shared" si="14"/>
        <v>7695</v>
      </c>
      <c r="N73" s="99" t="s">
        <v>706</v>
      </c>
    </row>
    <row r="74" spans="1:14" ht="16.5" customHeight="1">
      <c r="A74" s="95" t="s">
        <v>811</v>
      </c>
      <c r="B74" s="96" t="s">
        <v>808</v>
      </c>
      <c r="C74" s="96" t="s">
        <v>709</v>
      </c>
      <c r="D74" s="95" t="s">
        <v>26</v>
      </c>
      <c r="E74" s="97">
        <v>1</v>
      </c>
      <c r="F74" s="98">
        <f>일위대가표!F398</f>
        <v>0</v>
      </c>
      <c r="G74" s="98">
        <f t="shared" si="10"/>
        <v>0</v>
      </c>
      <c r="H74" s="98">
        <f>일위대가표!H398</f>
        <v>3738</v>
      </c>
      <c r="I74" s="98">
        <f t="shared" si="11"/>
        <v>3738</v>
      </c>
      <c r="J74" s="98">
        <f>일위대가표!J398</f>
        <v>0</v>
      </c>
      <c r="K74" s="98">
        <f t="shared" si="12"/>
        <v>0</v>
      </c>
      <c r="L74" s="98">
        <f t="shared" si="13"/>
        <v>3738</v>
      </c>
      <c r="M74" s="98">
        <f t="shared" si="14"/>
        <v>3738</v>
      </c>
      <c r="N74" s="99" t="s">
        <v>19</v>
      </c>
    </row>
    <row r="75" spans="1:14" ht="16.5" customHeight="1">
      <c r="A75" s="95" t="s">
        <v>813</v>
      </c>
      <c r="B75" s="96" t="s">
        <v>810</v>
      </c>
      <c r="C75" s="96" t="s">
        <v>710</v>
      </c>
      <c r="D75" s="95" t="s">
        <v>26</v>
      </c>
      <c r="E75" s="97">
        <v>1</v>
      </c>
      <c r="F75" s="98">
        <f>일위대가표!F401</f>
        <v>0</v>
      </c>
      <c r="G75" s="98">
        <f t="shared" si="10"/>
        <v>0</v>
      </c>
      <c r="H75" s="98">
        <f>일위대가표!H401</f>
        <v>921</v>
      </c>
      <c r="I75" s="98">
        <f t="shared" si="11"/>
        <v>921</v>
      </c>
      <c r="J75" s="98">
        <f>일위대가표!J401</f>
        <v>0</v>
      </c>
      <c r="K75" s="98">
        <f t="shared" si="12"/>
        <v>0</v>
      </c>
      <c r="L75" s="98">
        <f t="shared" si="13"/>
        <v>921</v>
      </c>
      <c r="M75" s="98">
        <f t="shared" si="14"/>
        <v>921</v>
      </c>
      <c r="N75" s="99" t="s">
        <v>706</v>
      </c>
    </row>
    <row r="76" spans="1:14" ht="16.5" customHeight="1">
      <c r="A76" s="95" t="s">
        <v>927</v>
      </c>
      <c r="B76" s="96" t="s">
        <v>812</v>
      </c>
      <c r="C76" s="96" t="s">
        <v>711</v>
      </c>
      <c r="D76" s="95" t="s">
        <v>26</v>
      </c>
      <c r="E76" s="97">
        <v>1</v>
      </c>
      <c r="F76" s="98">
        <f>일위대가표!F404</f>
        <v>0</v>
      </c>
      <c r="G76" s="98">
        <f t="shared" si="10"/>
        <v>0</v>
      </c>
      <c r="H76" s="98">
        <f>일위대가표!H404</f>
        <v>1843</v>
      </c>
      <c r="I76" s="98">
        <f t="shared" si="11"/>
        <v>1843</v>
      </c>
      <c r="J76" s="98">
        <f>일위대가표!J404</f>
        <v>0</v>
      </c>
      <c r="K76" s="98">
        <f t="shared" si="12"/>
        <v>0</v>
      </c>
      <c r="L76" s="98">
        <f t="shared" si="13"/>
        <v>1843</v>
      </c>
      <c r="M76" s="98">
        <f t="shared" si="14"/>
        <v>1843</v>
      </c>
      <c r="N76" s="99" t="s">
        <v>712</v>
      </c>
    </row>
    <row r="77" spans="1:14" ht="16.5" customHeight="1">
      <c r="A77" s="95" t="s">
        <v>928</v>
      </c>
      <c r="B77" s="96" t="s">
        <v>814</v>
      </c>
      <c r="C77" s="96" t="s">
        <v>713</v>
      </c>
      <c r="D77" s="95" t="s">
        <v>237</v>
      </c>
      <c r="E77" s="97">
        <v>1</v>
      </c>
      <c r="F77" s="98">
        <f>일위대가표!F410</f>
        <v>1155</v>
      </c>
      <c r="G77" s="98">
        <f t="shared" si="10"/>
        <v>1155</v>
      </c>
      <c r="H77" s="98">
        <f>일위대가표!H410</f>
        <v>38508</v>
      </c>
      <c r="I77" s="98">
        <f t="shared" si="11"/>
        <v>38508</v>
      </c>
      <c r="J77" s="98">
        <f>일위대가표!J410</f>
        <v>763</v>
      </c>
      <c r="K77" s="98">
        <f t="shared" si="12"/>
        <v>763</v>
      </c>
      <c r="L77" s="98">
        <f t="shared" si="13"/>
        <v>40426</v>
      </c>
      <c r="M77" s="98">
        <f t="shared" si="14"/>
        <v>40426</v>
      </c>
      <c r="N77" s="99" t="s">
        <v>714</v>
      </c>
    </row>
    <row r="78" spans="1:14" ht="16.5" customHeight="1">
      <c r="A78" s="97"/>
      <c r="B78" s="100"/>
      <c r="C78" s="100"/>
      <c r="D78" s="97"/>
      <c r="E78" s="97"/>
      <c r="F78" s="101"/>
      <c r="G78" s="98"/>
      <c r="H78" s="101"/>
      <c r="I78" s="98"/>
      <c r="J78" s="101"/>
      <c r="K78" s="98"/>
      <c r="L78" s="101"/>
      <c r="M78" s="98"/>
      <c r="N78" s="102"/>
    </row>
    <row r="79" spans="1:14" ht="16.5" customHeight="1">
      <c r="A79" s="97"/>
      <c r="B79" s="100"/>
      <c r="C79" s="100"/>
      <c r="D79" s="97"/>
      <c r="E79" s="97"/>
      <c r="F79" s="101"/>
      <c r="G79" s="98"/>
      <c r="H79" s="101"/>
      <c r="I79" s="98"/>
      <c r="J79" s="101"/>
      <c r="K79" s="98"/>
      <c r="L79" s="101"/>
      <c r="M79" s="98"/>
      <c r="N79" s="102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3" type="noConversion"/>
  <pageMargins left="0.74803149606299213" right="0.19685039370078738" top="0.74803149606299213" bottom="0.55118110236220463" header="0.51181102362204722" footer="0.31496062992125989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B7"/>
  </sheetPr>
  <dimension ref="A1:Q426"/>
  <sheetViews>
    <sheetView view="pageBreakPreview" topLeftCell="A10" zoomScale="115" zoomScaleSheetLayoutView="115" workbookViewId="0">
      <selection activeCell="B8" sqref="B8"/>
    </sheetView>
  </sheetViews>
  <sheetFormatPr defaultRowHeight="10.5"/>
  <cols>
    <col min="1" max="1" width="21.625" style="27" customWidth="1"/>
    <col min="2" max="2" width="18.625" style="27" customWidth="1"/>
    <col min="3" max="3" width="4.625" style="28" customWidth="1"/>
    <col min="4" max="4" width="6.625" style="29" customWidth="1"/>
    <col min="5" max="5" width="7.625" style="29" customWidth="1"/>
    <col min="6" max="6" width="8.625" style="29" customWidth="1"/>
    <col min="7" max="7" width="7.625" style="29" customWidth="1"/>
    <col min="8" max="8" width="8.625" style="29" customWidth="1"/>
    <col min="9" max="9" width="7.625" style="29" customWidth="1"/>
    <col min="10" max="10" width="8.625" style="29" customWidth="1"/>
    <col min="11" max="11" width="7.625" style="29" customWidth="1"/>
    <col min="12" max="12" width="8.625" style="29" customWidth="1"/>
    <col min="13" max="13" width="6.625" style="30" customWidth="1"/>
    <col min="14" max="17" width="9" style="27" customWidth="1"/>
    <col min="18" max="16384" width="9" style="27"/>
  </cols>
  <sheetData>
    <row r="1" spans="1:17" ht="26.1" customHeight="1">
      <c r="A1" s="142" t="s">
        <v>507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</row>
    <row r="2" spans="1:17" ht="16.5" customHeight="1">
      <c r="A2" s="157" t="s">
        <v>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</row>
    <row r="3" spans="1:17" ht="16.5" customHeight="1">
      <c r="A3" s="156" t="s">
        <v>508</v>
      </c>
      <c r="B3" s="156" t="s">
        <v>509</v>
      </c>
      <c r="C3" s="156" t="s">
        <v>4</v>
      </c>
      <c r="D3" s="156" t="s">
        <v>435</v>
      </c>
      <c r="E3" s="156" t="s">
        <v>510</v>
      </c>
      <c r="F3" s="156"/>
      <c r="G3" s="156" t="s">
        <v>511</v>
      </c>
      <c r="H3" s="156"/>
      <c r="I3" s="156" t="s">
        <v>512</v>
      </c>
      <c r="J3" s="156"/>
      <c r="K3" s="156" t="s">
        <v>513</v>
      </c>
      <c r="L3" s="156"/>
      <c r="M3" s="156" t="s">
        <v>440</v>
      </c>
    </row>
    <row r="4" spans="1:17" ht="16.5" customHeight="1">
      <c r="A4" s="156"/>
      <c r="B4" s="156"/>
      <c r="C4" s="156"/>
      <c r="D4" s="156"/>
      <c r="E4" s="87" t="s">
        <v>441</v>
      </c>
      <c r="F4" s="87" t="s">
        <v>442</v>
      </c>
      <c r="G4" s="87" t="s">
        <v>441</v>
      </c>
      <c r="H4" s="87" t="s">
        <v>442</v>
      </c>
      <c r="I4" s="87" t="s">
        <v>441</v>
      </c>
      <c r="J4" s="87" t="s">
        <v>442</v>
      </c>
      <c r="K4" s="87" t="s">
        <v>441</v>
      </c>
      <c r="L4" s="87" t="s">
        <v>442</v>
      </c>
      <c r="M4" s="156"/>
      <c r="N4" s="27" t="s">
        <v>443</v>
      </c>
      <c r="O4" s="27" t="s">
        <v>444</v>
      </c>
      <c r="P4" s="27" t="s">
        <v>445</v>
      </c>
      <c r="Q4" s="27" t="s">
        <v>446</v>
      </c>
    </row>
    <row r="5" spans="1:17" ht="16.5" customHeight="1">
      <c r="A5" s="88" t="s">
        <v>514</v>
      </c>
      <c r="B5" s="88" t="s">
        <v>515</v>
      </c>
      <c r="C5" s="39" t="s">
        <v>516</v>
      </c>
      <c r="D5" s="90"/>
      <c r="E5" s="90"/>
      <c r="F5" s="90"/>
      <c r="G5" s="90"/>
      <c r="H5" s="90"/>
      <c r="I5" s="90"/>
      <c r="J5" s="90"/>
      <c r="K5" s="90"/>
      <c r="L5" s="90"/>
      <c r="M5" s="71" t="s">
        <v>517</v>
      </c>
    </row>
    <row r="6" spans="1:17" ht="16.5" customHeight="1">
      <c r="A6" s="88" t="s">
        <v>143</v>
      </c>
      <c r="B6" s="88" t="s">
        <v>144</v>
      </c>
      <c r="C6" s="39" t="s">
        <v>17</v>
      </c>
      <c r="D6" s="90">
        <v>0.12</v>
      </c>
      <c r="E6" s="90">
        <f>ROUNDDOWN(자재단가대비표!N39,0)</f>
        <v>20830</v>
      </c>
      <c r="F6" s="90">
        <f t="shared" ref="F6:F14" si="0">ROUNDDOWN(D6*E6,1)</f>
        <v>2499.6</v>
      </c>
      <c r="G6" s="90"/>
      <c r="H6" s="90"/>
      <c r="I6" s="90"/>
      <c r="J6" s="90"/>
      <c r="K6" s="90">
        <f t="shared" ref="K6:K15" si="1">E6+G6+I6</f>
        <v>20830</v>
      </c>
      <c r="L6" s="90">
        <f t="shared" ref="L6:L15" si="2">F6+H6+J6</f>
        <v>2499.6</v>
      </c>
      <c r="M6" s="70"/>
      <c r="O6" s="31" t="s">
        <v>457</v>
      </c>
      <c r="P6" s="31" t="s">
        <v>452</v>
      </c>
      <c r="Q6" s="27">
        <v>1</v>
      </c>
    </row>
    <row r="7" spans="1:17" ht="16.5" customHeight="1">
      <c r="A7" s="88" t="s">
        <v>59</v>
      </c>
      <c r="B7" s="88" t="s">
        <v>60</v>
      </c>
      <c r="C7" s="39" t="s">
        <v>17</v>
      </c>
      <c r="D7" s="90">
        <v>0.24</v>
      </c>
      <c r="E7" s="90">
        <f>ROUNDDOWN(자재단가대비표!N20,0)</f>
        <v>6640</v>
      </c>
      <c r="F7" s="90">
        <f t="shared" si="0"/>
        <v>1593.6</v>
      </c>
      <c r="G7" s="90"/>
      <c r="H7" s="90"/>
      <c r="I7" s="90"/>
      <c r="J7" s="90"/>
      <c r="K7" s="90">
        <f t="shared" si="1"/>
        <v>6640</v>
      </c>
      <c r="L7" s="90">
        <f t="shared" si="2"/>
        <v>1593.6</v>
      </c>
      <c r="M7" s="70"/>
      <c r="O7" s="31" t="s">
        <v>457</v>
      </c>
      <c r="P7" s="31" t="s">
        <v>452</v>
      </c>
      <c r="Q7" s="27">
        <v>1</v>
      </c>
    </row>
    <row r="8" spans="1:17" ht="16.5" customHeight="1">
      <c r="A8" s="88" t="s">
        <v>190</v>
      </c>
      <c r="B8" s="88" t="s">
        <v>133</v>
      </c>
      <c r="C8" s="39" t="s">
        <v>17</v>
      </c>
      <c r="D8" s="90">
        <v>0.24</v>
      </c>
      <c r="E8" s="90">
        <f>ROUNDDOWN(자재단가대비표!N56,0)</f>
        <v>24000</v>
      </c>
      <c r="F8" s="90">
        <f t="shared" si="0"/>
        <v>5760</v>
      </c>
      <c r="G8" s="90"/>
      <c r="H8" s="90"/>
      <c r="I8" s="90"/>
      <c r="J8" s="90"/>
      <c r="K8" s="90">
        <f t="shared" si="1"/>
        <v>24000</v>
      </c>
      <c r="L8" s="90">
        <f t="shared" si="2"/>
        <v>5760</v>
      </c>
      <c r="M8" s="70"/>
      <c r="O8" s="31" t="s">
        <v>457</v>
      </c>
      <c r="P8" s="31" t="s">
        <v>452</v>
      </c>
      <c r="Q8" s="27">
        <v>1</v>
      </c>
    </row>
    <row r="9" spans="1:17" ht="16.5" customHeight="1">
      <c r="A9" s="88" t="s">
        <v>185</v>
      </c>
      <c r="B9" s="88" t="s">
        <v>19</v>
      </c>
      <c r="C9" s="39" t="s">
        <v>17</v>
      </c>
      <c r="D9" s="90">
        <v>0.24</v>
      </c>
      <c r="E9" s="90">
        <f>ROUNDDOWN(자재단가대비표!N54,0)</f>
        <v>24500</v>
      </c>
      <c r="F9" s="90">
        <f t="shared" si="0"/>
        <v>5880</v>
      </c>
      <c r="G9" s="90"/>
      <c r="H9" s="90"/>
      <c r="I9" s="90"/>
      <c r="J9" s="90"/>
      <c r="K9" s="90">
        <f t="shared" si="1"/>
        <v>24500</v>
      </c>
      <c r="L9" s="90">
        <f t="shared" si="2"/>
        <v>5880</v>
      </c>
      <c r="M9" s="71" t="s">
        <v>186</v>
      </c>
      <c r="O9" s="31" t="s">
        <v>457</v>
      </c>
      <c r="P9" s="31" t="s">
        <v>452</v>
      </c>
      <c r="Q9" s="27">
        <v>1</v>
      </c>
    </row>
    <row r="10" spans="1:17" ht="16.5" customHeight="1">
      <c r="A10" s="88" t="s">
        <v>145</v>
      </c>
      <c r="B10" s="88" t="s">
        <v>146</v>
      </c>
      <c r="C10" s="39" t="s">
        <v>17</v>
      </c>
      <c r="D10" s="90">
        <v>0.12</v>
      </c>
      <c r="E10" s="90">
        <f>ROUNDDOWN(자재단가대비표!N40,0)</f>
        <v>8000</v>
      </c>
      <c r="F10" s="90">
        <f t="shared" si="0"/>
        <v>960</v>
      </c>
      <c r="G10" s="90"/>
      <c r="H10" s="90"/>
      <c r="I10" s="90"/>
      <c r="J10" s="90"/>
      <c r="K10" s="90">
        <f t="shared" si="1"/>
        <v>8000</v>
      </c>
      <c r="L10" s="90">
        <f t="shared" si="2"/>
        <v>960</v>
      </c>
      <c r="M10" s="70"/>
      <c r="O10" s="31" t="s">
        <v>457</v>
      </c>
      <c r="P10" s="31" t="s">
        <v>452</v>
      </c>
      <c r="Q10" s="27">
        <v>1</v>
      </c>
    </row>
    <row r="11" spans="1:17" ht="16.5" customHeight="1">
      <c r="A11" s="88" t="s">
        <v>145</v>
      </c>
      <c r="B11" s="88" t="s">
        <v>133</v>
      </c>
      <c r="C11" s="39" t="s">
        <v>17</v>
      </c>
      <c r="D11" s="90">
        <v>0.24</v>
      </c>
      <c r="E11" s="90">
        <f>ROUNDDOWN(자재단가대비표!N41,0)</f>
        <v>24000</v>
      </c>
      <c r="F11" s="90">
        <f t="shared" si="0"/>
        <v>5760</v>
      </c>
      <c r="G11" s="90"/>
      <c r="H11" s="90"/>
      <c r="I11" s="90"/>
      <c r="J11" s="90"/>
      <c r="K11" s="90">
        <f t="shared" si="1"/>
        <v>24000</v>
      </c>
      <c r="L11" s="90">
        <f t="shared" si="2"/>
        <v>5760</v>
      </c>
      <c r="M11" s="70"/>
      <c r="O11" s="31" t="s">
        <v>457</v>
      </c>
      <c r="P11" s="31" t="s">
        <v>452</v>
      </c>
      <c r="Q11" s="27">
        <v>1</v>
      </c>
    </row>
    <row r="12" spans="1:17" ht="16.5" customHeight="1">
      <c r="A12" s="88" t="s">
        <v>132</v>
      </c>
      <c r="B12" s="88" t="s">
        <v>133</v>
      </c>
      <c r="C12" s="39" t="s">
        <v>17</v>
      </c>
      <c r="D12" s="90">
        <v>0.36</v>
      </c>
      <c r="E12" s="90">
        <f>ROUNDDOWN(자재단가대비표!N36,0)</f>
        <v>24000</v>
      </c>
      <c r="F12" s="90">
        <f t="shared" si="0"/>
        <v>8640</v>
      </c>
      <c r="G12" s="90"/>
      <c r="H12" s="90"/>
      <c r="I12" s="90"/>
      <c r="J12" s="90"/>
      <c r="K12" s="90">
        <f t="shared" si="1"/>
        <v>24000</v>
      </c>
      <c r="L12" s="90">
        <f t="shared" si="2"/>
        <v>8640</v>
      </c>
      <c r="M12" s="70"/>
      <c r="O12" s="31" t="s">
        <v>457</v>
      </c>
      <c r="P12" s="31" t="s">
        <v>452</v>
      </c>
      <c r="Q12" s="27">
        <v>1</v>
      </c>
    </row>
    <row r="13" spans="1:17" ht="16.5" customHeight="1">
      <c r="A13" s="88" t="s">
        <v>288</v>
      </c>
      <c r="B13" s="88" t="s">
        <v>133</v>
      </c>
      <c r="C13" s="39" t="s">
        <v>17</v>
      </c>
      <c r="D13" s="90">
        <v>0.36</v>
      </c>
      <c r="E13" s="90">
        <f>ROUNDDOWN(자재단가대비표!N86,0)</f>
        <v>10100</v>
      </c>
      <c r="F13" s="90">
        <f t="shared" si="0"/>
        <v>3636</v>
      </c>
      <c r="G13" s="90"/>
      <c r="H13" s="90"/>
      <c r="I13" s="90"/>
      <c r="J13" s="90"/>
      <c r="K13" s="90">
        <f t="shared" si="1"/>
        <v>10100</v>
      </c>
      <c r="L13" s="90">
        <f t="shared" si="2"/>
        <v>3636</v>
      </c>
      <c r="M13" s="70"/>
      <c r="O13" s="31" t="s">
        <v>457</v>
      </c>
      <c r="P13" s="31" t="s">
        <v>452</v>
      </c>
      <c r="Q13" s="27">
        <v>1</v>
      </c>
    </row>
    <row r="14" spans="1:17" ht="16.5" customHeight="1">
      <c r="A14" s="88" t="s">
        <v>320</v>
      </c>
      <c r="B14" s="88" t="s">
        <v>321</v>
      </c>
      <c r="C14" s="39" t="s">
        <v>107</v>
      </c>
      <c r="D14" s="90">
        <v>3.15E-2</v>
      </c>
      <c r="E14" s="90">
        <f>ROUNDDOWN(자재단가대비표!N99,0)</f>
        <v>396900</v>
      </c>
      <c r="F14" s="90">
        <f t="shared" si="0"/>
        <v>12502.3</v>
      </c>
      <c r="G14" s="90"/>
      <c r="H14" s="90"/>
      <c r="I14" s="90"/>
      <c r="J14" s="90"/>
      <c r="K14" s="90">
        <f t="shared" si="1"/>
        <v>396900</v>
      </c>
      <c r="L14" s="90">
        <f t="shared" si="2"/>
        <v>12502.3</v>
      </c>
      <c r="M14" s="70"/>
      <c r="O14" s="31" t="s">
        <v>457</v>
      </c>
      <c r="P14" s="31" t="s">
        <v>452</v>
      </c>
      <c r="Q14" s="27">
        <v>1</v>
      </c>
    </row>
    <row r="15" spans="1:17" ht="16.5" customHeight="1">
      <c r="A15" s="88" t="s">
        <v>352</v>
      </c>
      <c r="B15" s="88" t="s">
        <v>19</v>
      </c>
      <c r="C15" s="39" t="s">
        <v>339</v>
      </c>
      <c r="D15" s="90">
        <v>0.42</v>
      </c>
      <c r="E15" s="90"/>
      <c r="F15" s="90"/>
      <c r="G15" s="90">
        <f>ROUNDDOWN(자재단가대비표!N119,0)</f>
        <v>87805</v>
      </c>
      <c r="H15" s="90">
        <f>ROUNDDOWN(D15*G15,1)</f>
        <v>36878.1</v>
      </c>
      <c r="I15" s="90"/>
      <c r="J15" s="90"/>
      <c r="K15" s="90">
        <f t="shared" si="1"/>
        <v>87805</v>
      </c>
      <c r="L15" s="90">
        <f t="shared" si="2"/>
        <v>36878.1</v>
      </c>
      <c r="M15" s="70"/>
      <c r="O15" s="31" t="s">
        <v>462</v>
      </c>
      <c r="P15" s="31" t="s">
        <v>452</v>
      </c>
      <c r="Q15" s="27">
        <v>1</v>
      </c>
    </row>
    <row r="16" spans="1:17" ht="16.5" customHeight="1">
      <c r="A16" s="116" t="s">
        <v>419</v>
      </c>
      <c r="B16" s="65"/>
      <c r="C16" s="66"/>
      <c r="D16" s="67"/>
      <c r="E16" s="67"/>
      <c r="F16" s="123">
        <f>ROUNDDOWN(SUMIF($Q$6:$Q$15, 1,$F$6:$F$15),0)</f>
        <v>47231</v>
      </c>
      <c r="G16" s="67"/>
      <c r="H16" s="123">
        <f>ROUNDDOWN(SUMIF($Q$6:$Q$15, 1,$H$6:$H$15),0)</f>
        <v>36878</v>
      </c>
      <c r="I16" s="67"/>
      <c r="J16" s="123">
        <f>ROUNDDOWN(SUMIF($Q$6:$Q$15, 1,$J$6:$J$15),0)</f>
        <v>0</v>
      </c>
      <c r="K16" s="67"/>
      <c r="L16" s="123">
        <f>F16+H16+J16</f>
        <v>84109</v>
      </c>
      <c r="M16" s="69"/>
    </row>
    <row r="17" spans="1:17" ht="16.5" customHeight="1">
      <c r="A17" s="88" t="s">
        <v>518</v>
      </c>
      <c r="B17" s="88" t="s">
        <v>519</v>
      </c>
      <c r="C17" s="39" t="s">
        <v>506</v>
      </c>
      <c r="D17" s="90"/>
      <c r="E17" s="90"/>
      <c r="F17" s="90"/>
      <c r="G17" s="90"/>
      <c r="H17" s="90"/>
      <c r="I17" s="90"/>
      <c r="J17" s="90"/>
      <c r="K17" s="90"/>
      <c r="L17" s="90"/>
      <c r="M17" s="71" t="s">
        <v>19</v>
      </c>
    </row>
    <row r="18" spans="1:17" ht="16.5" customHeight="1">
      <c r="A18" s="88" t="s">
        <v>352</v>
      </c>
      <c r="B18" s="88" t="s">
        <v>19</v>
      </c>
      <c r="C18" s="39" t="s">
        <v>339</v>
      </c>
      <c r="D18" s="90">
        <v>0.1</v>
      </c>
      <c r="E18" s="90"/>
      <c r="F18" s="90"/>
      <c r="G18" s="90">
        <f>ROUNDDOWN(자재단가대비표!N119,0)</f>
        <v>87805</v>
      </c>
      <c r="H18" s="90">
        <f>ROUNDDOWN(D18*G18,1)</f>
        <v>8780.5</v>
      </c>
      <c r="I18" s="90"/>
      <c r="J18" s="90"/>
      <c r="K18" s="90">
        <f>E18+G18+I18</f>
        <v>87805</v>
      </c>
      <c r="L18" s="90">
        <f>F18+H18+J18</f>
        <v>8780.5</v>
      </c>
      <c r="M18" s="70"/>
      <c r="O18" s="31" t="s">
        <v>462</v>
      </c>
      <c r="P18" s="31" t="s">
        <v>452</v>
      </c>
      <c r="Q18" s="27">
        <v>1</v>
      </c>
    </row>
    <row r="19" spans="1:17" ht="16.5" customHeight="1">
      <c r="A19" s="116" t="s">
        <v>419</v>
      </c>
      <c r="B19" s="65"/>
      <c r="C19" s="66"/>
      <c r="D19" s="67"/>
      <c r="E19" s="67"/>
      <c r="F19" s="123">
        <f>ROUNDDOWN(SUMIF($Q$18:$Q$18, 1,$F$18:$F$18),0)</f>
        <v>0</v>
      </c>
      <c r="G19" s="67"/>
      <c r="H19" s="123">
        <f>ROUNDDOWN(SUMIF($Q$18:$Q$18, 1,$H$18:$H$18),0)</f>
        <v>8780</v>
      </c>
      <c r="I19" s="67"/>
      <c r="J19" s="123">
        <f>ROUNDDOWN(SUMIF($Q$18:$Q$18, 1,$J$18:$J$18),0)</f>
        <v>0</v>
      </c>
      <c r="K19" s="67"/>
      <c r="L19" s="123">
        <f>F19+H19+J19</f>
        <v>8780</v>
      </c>
      <c r="M19" s="69"/>
    </row>
    <row r="20" spans="1:17" ht="16.5" customHeight="1">
      <c r="A20" s="88" t="s">
        <v>520</v>
      </c>
      <c r="B20" s="88" t="s">
        <v>521</v>
      </c>
      <c r="C20" s="39" t="s">
        <v>26</v>
      </c>
      <c r="D20" s="90"/>
      <c r="E20" s="90"/>
      <c r="F20" s="90"/>
      <c r="G20" s="90"/>
      <c r="H20" s="90"/>
      <c r="I20" s="90"/>
      <c r="J20" s="90"/>
      <c r="K20" s="90"/>
      <c r="L20" s="90"/>
      <c r="M20" s="71" t="s">
        <v>522</v>
      </c>
    </row>
    <row r="21" spans="1:17" ht="16.5" customHeight="1">
      <c r="A21" s="88" t="s">
        <v>352</v>
      </c>
      <c r="B21" s="88" t="s">
        <v>19</v>
      </c>
      <c r="C21" s="39" t="s">
        <v>339</v>
      </c>
      <c r="D21" s="90">
        <v>0.01</v>
      </c>
      <c r="E21" s="90"/>
      <c r="F21" s="90"/>
      <c r="G21" s="90">
        <f>ROUNDDOWN(자재단가대비표!N119,0)</f>
        <v>87805</v>
      </c>
      <c r="H21" s="90">
        <f>ROUNDDOWN(D21*G21,1)</f>
        <v>878</v>
      </c>
      <c r="I21" s="90"/>
      <c r="J21" s="90"/>
      <c r="K21" s="90">
        <f>E21+G21+I21</f>
        <v>87805</v>
      </c>
      <c r="L21" s="90">
        <f>F21+H21+J21</f>
        <v>878</v>
      </c>
      <c r="M21" s="70"/>
      <c r="O21" s="31" t="s">
        <v>462</v>
      </c>
      <c r="P21" s="31" t="s">
        <v>452</v>
      </c>
      <c r="Q21" s="27">
        <v>1</v>
      </c>
    </row>
    <row r="22" spans="1:17" ht="16.5" customHeight="1">
      <c r="A22" s="103" t="s">
        <v>971</v>
      </c>
      <c r="B22" s="128"/>
      <c r="C22" s="39" t="s">
        <v>26</v>
      </c>
      <c r="D22" s="138">
        <v>0.25</v>
      </c>
      <c r="E22" s="129">
        <v>750</v>
      </c>
      <c r="F22" s="90">
        <f>ROUNDDOWN(D22*E22,1)</f>
        <v>187.5</v>
      </c>
      <c r="G22" s="129"/>
      <c r="H22" s="129"/>
      <c r="I22" s="129"/>
      <c r="J22" s="129"/>
      <c r="K22" s="129"/>
      <c r="L22" s="129"/>
      <c r="M22" s="130"/>
      <c r="O22" s="31"/>
      <c r="P22" s="31"/>
    </row>
    <row r="23" spans="1:17" ht="16.5" customHeight="1">
      <c r="A23" s="116" t="s">
        <v>419</v>
      </c>
      <c r="B23" s="65"/>
      <c r="C23" s="66"/>
      <c r="D23" s="67"/>
      <c r="E23" s="67"/>
      <c r="F23" s="123">
        <f>F21+F22</f>
        <v>187.5</v>
      </c>
      <c r="G23" s="67"/>
      <c r="H23" s="123">
        <f>H21+H22</f>
        <v>878</v>
      </c>
      <c r="I23" s="67"/>
      <c r="J23" s="123">
        <f>ROUNDDOWN(SUMIF($Q$21:$Q$21, 1,$J$21:$J$21),0)</f>
        <v>0</v>
      </c>
      <c r="K23" s="67"/>
      <c r="L23" s="123">
        <f>F23+H23+J23</f>
        <v>1065.5</v>
      </c>
      <c r="M23" s="69"/>
    </row>
    <row r="24" spans="1:17" ht="16.5" customHeight="1">
      <c r="A24" s="88" t="s">
        <v>523</v>
      </c>
      <c r="B24" s="88" t="s">
        <v>524</v>
      </c>
      <c r="C24" s="39" t="s">
        <v>221</v>
      </c>
      <c r="D24" s="90"/>
      <c r="E24" s="90"/>
      <c r="F24" s="90"/>
      <c r="G24" s="90"/>
      <c r="H24" s="90"/>
      <c r="I24" s="90"/>
      <c r="J24" s="90"/>
      <c r="K24" s="90"/>
      <c r="L24" s="90"/>
      <c r="M24" s="71" t="s">
        <v>525</v>
      </c>
    </row>
    <row r="25" spans="1:17" ht="16.5" customHeight="1">
      <c r="A25" s="88" t="s">
        <v>526</v>
      </c>
      <c r="B25" s="88" t="s">
        <v>527</v>
      </c>
      <c r="C25" s="39" t="s">
        <v>107</v>
      </c>
      <c r="D25" s="90">
        <v>2.5000000000000001E-4</v>
      </c>
      <c r="E25" s="90">
        <f>ROUNDDOWN(일위대가표!F32,0)</f>
        <v>65220</v>
      </c>
      <c r="F25" s="90">
        <f>ROUNDDOWN(D25*E25,1)</f>
        <v>16.3</v>
      </c>
      <c r="G25" s="90"/>
      <c r="H25" s="90"/>
      <c r="I25" s="90"/>
      <c r="J25" s="90"/>
      <c r="K25" s="90">
        <f t="shared" ref="K25:L27" si="3">E25+G25+I25</f>
        <v>65220</v>
      </c>
      <c r="L25" s="90">
        <f t="shared" si="3"/>
        <v>16.3</v>
      </c>
      <c r="M25" s="71" t="s">
        <v>528</v>
      </c>
      <c r="P25" s="31" t="s">
        <v>452</v>
      </c>
      <c r="Q25" s="27">
        <v>1</v>
      </c>
    </row>
    <row r="26" spans="1:17" ht="16.5" customHeight="1">
      <c r="A26" s="88" t="s">
        <v>357</v>
      </c>
      <c r="B26" s="88" t="s">
        <v>19</v>
      </c>
      <c r="C26" s="39" t="s">
        <v>339</v>
      </c>
      <c r="D26" s="90">
        <v>1.1000000000000001E-3</v>
      </c>
      <c r="E26" s="90"/>
      <c r="F26" s="90"/>
      <c r="G26" s="90">
        <f>ROUNDDOWN(자재단가대비표!N123,0)</f>
        <v>125105</v>
      </c>
      <c r="H26" s="90">
        <f>ROUNDDOWN(D26*G26,1)</f>
        <v>137.6</v>
      </c>
      <c r="I26" s="90"/>
      <c r="J26" s="90"/>
      <c r="K26" s="90">
        <f t="shared" si="3"/>
        <v>125105</v>
      </c>
      <c r="L26" s="90">
        <f t="shared" si="3"/>
        <v>137.6</v>
      </c>
      <c r="M26" s="70"/>
      <c r="O26" s="31" t="s">
        <v>462</v>
      </c>
      <c r="P26" s="31" t="s">
        <v>452</v>
      </c>
      <c r="Q26" s="27">
        <v>1</v>
      </c>
    </row>
    <row r="27" spans="1:17" ht="16.5" customHeight="1">
      <c r="A27" s="88" t="s">
        <v>352</v>
      </c>
      <c r="B27" s="88" t="s">
        <v>19</v>
      </c>
      <c r="C27" s="39" t="s">
        <v>339</v>
      </c>
      <c r="D27" s="90">
        <v>2.9999999999999997E-4</v>
      </c>
      <c r="E27" s="90"/>
      <c r="F27" s="90"/>
      <c r="G27" s="90">
        <f>ROUNDDOWN(자재단가대비표!N119,0)</f>
        <v>87805</v>
      </c>
      <c r="H27" s="90">
        <f>ROUNDDOWN(D27*G27,1)</f>
        <v>26.3</v>
      </c>
      <c r="I27" s="90"/>
      <c r="J27" s="90"/>
      <c r="K27" s="90">
        <f t="shared" si="3"/>
        <v>87805</v>
      </c>
      <c r="L27" s="90">
        <f t="shared" si="3"/>
        <v>26.3</v>
      </c>
      <c r="M27" s="70"/>
      <c r="O27" s="31" t="s">
        <v>462</v>
      </c>
      <c r="P27" s="31" t="s">
        <v>452</v>
      </c>
      <c r="Q27" s="27">
        <v>1</v>
      </c>
    </row>
    <row r="28" spans="1:17" ht="16.5" customHeight="1">
      <c r="A28" s="116" t="s">
        <v>419</v>
      </c>
      <c r="B28" s="65"/>
      <c r="C28" s="66"/>
      <c r="D28" s="67"/>
      <c r="E28" s="67"/>
      <c r="F28" s="123">
        <f>ROUNDDOWN(SUMIF($Q$25:$Q$27, 1,$F$25:$F$27),0)</f>
        <v>16</v>
      </c>
      <c r="G28" s="67"/>
      <c r="H28" s="123">
        <f>ROUNDDOWN(SUMIF($Q$25:$Q$27, 1,$H$25:$H$27),0)</f>
        <v>163</v>
      </c>
      <c r="I28" s="67"/>
      <c r="J28" s="123">
        <f>ROUNDDOWN(SUMIF($Q$25:$Q$27, 1,$J$25:$J$27),0)</f>
        <v>0</v>
      </c>
      <c r="K28" s="67"/>
      <c r="L28" s="123">
        <f>F28+H28+J28</f>
        <v>179</v>
      </c>
      <c r="M28" s="69"/>
    </row>
    <row r="29" spans="1:17" ht="16.5" customHeight="1">
      <c r="A29" s="88" t="s">
        <v>529</v>
      </c>
      <c r="B29" s="88" t="s">
        <v>527</v>
      </c>
      <c r="C29" s="39" t="s">
        <v>107</v>
      </c>
      <c r="D29" s="90"/>
      <c r="E29" s="90"/>
      <c r="F29" s="90"/>
      <c r="G29" s="90"/>
      <c r="H29" s="90"/>
      <c r="I29" s="90"/>
      <c r="J29" s="90"/>
      <c r="K29" s="90"/>
      <c r="L29" s="90"/>
      <c r="M29" s="71" t="s">
        <v>530</v>
      </c>
    </row>
    <row r="30" spans="1:17" ht="16.5" customHeight="1">
      <c r="A30" s="88" t="s">
        <v>215</v>
      </c>
      <c r="B30" s="88" t="s">
        <v>216</v>
      </c>
      <c r="C30" s="39" t="s">
        <v>58</v>
      </c>
      <c r="D30" s="90">
        <v>510</v>
      </c>
      <c r="E30" s="90">
        <f>ROUNDDOWN(자재단가대비표!N64,0)</f>
        <v>102</v>
      </c>
      <c r="F30" s="90">
        <f>ROUNDDOWN(D30*E30,1)</f>
        <v>52020</v>
      </c>
      <c r="G30" s="90"/>
      <c r="H30" s="90"/>
      <c r="I30" s="90"/>
      <c r="J30" s="90"/>
      <c r="K30" s="90">
        <f>E30+G30+I30</f>
        <v>102</v>
      </c>
      <c r="L30" s="90">
        <f>F30+H30+J30</f>
        <v>52020</v>
      </c>
      <c r="M30" s="70"/>
      <c r="O30" s="31" t="s">
        <v>457</v>
      </c>
      <c r="P30" s="31" t="s">
        <v>452</v>
      </c>
      <c r="Q30" s="27">
        <v>1</v>
      </c>
    </row>
    <row r="31" spans="1:17" ht="16.5" customHeight="1">
      <c r="A31" s="88" t="s">
        <v>105</v>
      </c>
      <c r="B31" s="88" t="s">
        <v>111</v>
      </c>
      <c r="C31" s="39" t="s">
        <v>107</v>
      </c>
      <c r="D31" s="90">
        <v>1.1000000000000001</v>
      </c>
      <c r="E31" s="90">
        <f>ROUNDDOWN(자재단가대비표!N30,0)</f>
        <v>12000</v>
      </c>
      <c r="F31" s="90">
        <f>ROUNDDOWN(D31*E31,1)</f>
        <v>13200</v>
      </c>
      <c r="G31" s="90"/>
      <c r="H31" s="90"/>
      <c r="I31" s="90"/>
      <c r="J31" s="90"/>
      <c r="K31" s="90">
        <f>E31+G31+I31</f>
        <v>12000</v>
      </c>
      <c r="L31" s="90">
        <f>F31+H31+J31</f>
        <v>13200</v>
      </c>
      <c r="M31" s="71" t="s">
        <v>114</v>
      </c>
      <c r="O31" s="31" t="s">
        <v>457</v>
      </c>
      <c r="P31" s="31" t="s">
        <v>452</v>
      </c>
      <c r="Q31" s="27">
        <v>1</v>
      </c>
    </row>
    <row r="32" spans="1:17" ht="16.5" customHeight="1">
      <c r="A32" s="116" t="s">
        <v>419</v>
      </c>
      <c r="B32" s="65"/>
      <c r="C32" s="66"/>
      <c r="D32" s="67"/>
      <c r="E32" s="67"/>
      <c r="F32" s="123">
        <f>ROUNDDOWN(SUMIF($Q$30:$Q$31, 1,$F$30:$F$31),0)</f>
        <v>65220</v>
      </c>
      <c r="G32" s="67"/>
      <c r="H32" s="123">
        <f>ROUNDDOWN(SUMIF($Q$30:$Q$31, 1,$H$30:$H$31),0)</f>
        <v>0</v>
      </c>
      <c r="I32" s="67"/>
      <c r="J32" s="123">
        <f>ROUNDDOWN(SUMIF($Q$30:$Q$31, 1,$J$30:$J$31),0)</f>
        <v>0</v>
      </c>
      <c r="K32" s="67"/>
      <c r="L32" s="123">
        <f>F32+H32+J32</f>
        <v>65220</v>
      </c>
      <c r="M32" s="69"/>
    </row>
    <row r="33" spans="1:17" ht="16.5" customHeight="1">
      <c r="A33" s="88" t="s">
        <v>531</v>
      </c>
      <c r="B33" s="88" t="s">
        <v>524</v>
      </c>
      <c r="C33" s="39" t="s">
        <v>221</v>
      </c>
      <c r="D33" s="90"/>
      <c r="E33" s="90"/>
      <c r="F33" s="90"/>
      <c r="G33" s="90"/>
      <c r="H33" s="90"/>
      <c r="I33" s="90"/>
      <c r="J33" s="90"/>
      <c r="K33" s="90"/>
      <c r="L33" s="90"/>
      <c r="M33" s="71" t="s">
        <v>525</v>
      </c>
    </row>
    <row r="34" spans="1:17" ht="16.5" customHeight="1">
      <c r="A34" s="88" t="s">
        <v>526</v>
      </c>
      <c r="B34" s="88" t="s">
        <v>527</v>
      </c>
      <c r="C34" s="39" t="s">
        <v>107</v>
      </c>
      <c r="D34" s="90">
        <v>3.3E-4</v>
      </c>
      <c r="E34" s="90">
        <f>ROUNDDOWN(일위대가표!F32,0)</f>
        <v>65220</v>
      </c>
      <c r="F34" s="90">
        <f>ROUNDDOWN(D34*E34,1)</f>
        <v>21.5</v>
      </c>
      <c r="G34" s="90"/>
      <c r="H34" s="90"/>
      <c r="I34" s="90"/>
      <c r="J34" s="90"/>
      <c r="K34" s="90">
        <f t="shared" ref="K34:L36" si="4">E34+G34+I34</f>
        <v>65220</v>
      </c>
      <c r="L34" s="90">
        <f t="shared" si="4"/>
        <v>21.5</v>
      </c>
      <c r="M34" s="71" t="s">
        <v>528</v>
      </c>
      <c r="P34" s="31" t="s">
        <v>452</v>
      </c>
      <c r="Q34" s="27">
        <v>1</v>
      </c>
    </row>
    <row r="35" spans="1:17" ht="16.5" customHeight="1">
      <c r="A35" s="88" t="s">
        <v>357</v>
      </c>
      <c r="B35" s="88" t="s">
        <v>19</v>
      </c>
      <c r="C35" s="39" t="s">
        <v>339</v>
      </c>
      <c r="D35" s="90">
        <v>1E-3</v>
      </c>
      <c r="E35" s="90"/>
      <c r="F35" s="90"/>
      <c r="G35" s="90">
        <f>ROUNDDOWN(자재단가대비표!N123,0)</f>
        <v>125105</v>
      </c>
      <c r="H35" s="90">
        <f>ROUNDDOWN(D35*G35,1)</f>
        <v>125.1</v>
      </c>
      <c r="I35" s="90"/>
      <c r="J35" s="90"/>
      <c r="K35" s="90">
        <f t="shared" si="4"/>
        <v>125105</v>
      </c>
      <c r="L35" s="90">
        <f t="shared" si="4"/>
        <v>125.1</v>
      </c>
      <c r="M35" s="70"/>
      <c r="O35" s="31" t="s">
        <v>462</v>
      </c>
      <c r="P35" s="31" t="s">
        <v>452</v>
      </c>
      <c r="Q35" s="27">
        <v>1</v>
      </c>
    </row>
    <row r="36" spans="1:17" ht="16.5" customHeight="1">
      <c r="A36" s="88" t="s">
        <v>352</v>
      </c>
      <c r="B36" s="88" t="s">
        <v>19</v>
      </c>
      <c r="C36" s="39" t="s">
        <v>339</v>
      </c>
      <c r="D36" s="90">
        <v>2.9999999999999997E-4</v>
      </c>
      <c r="E36" s="90"/>
      <c r="F36" s="90"/>
      <c r="G36" s="90">
        <f>ROUNDDOWN(자재단가대비표!N119,0)</f>
        <v>87805</v>
      </c>
      <c r="H36" s="90">
        <f>ROUNDDOWN(D36*G36,1)</f>
        <v>26.3</v>
      </c>
      <c r="I36" s="90"/>
      <c r="J36" s="90"/>
      <c r="K36" s="90">
        <f t="shared" si="4"/>
        <v>87805</v>
      </c>
      <c r="L36" s="90">
        <f t="shared" si="4"/>
        <v>26.3</v>
      </c>
      <c r="M36" s="70"/>
      <c r="O36" s="31" t="s">
        <v>462</v>
      </c>
      <c r="P36" s="31" t="s">
        <v>452</v>
      </c>
      <c r="Q36" s="27">
        <v>1</v>
      </c>
    </row>
    <row r="37" spans="1:17" ht="16.5" customHeight="1">
      <c r="A37" s="116" t="s">
        <v>419</v>
      </c>
      <c r="B37" s="65"/>
      <c r="C37" s="66"/>
      <c r="D37" s="67"/>
      <c r="E37" s="67"/>
      <c r="F37" s="123">
        <f>ROUNDDOWN(SUMIF($Q$34:$Q$36, 1,$F$34:$F$36),0)</f>
        <v>21</v>
      </c>
      <c r="G37" s="67"/>
      <c r="H37" s="123">
        <f>ROUNDDOWN(SUMIF($Q$34:$Q$36, 1,$H$34:$H$36),0)</f>
        <v>151</v>
      </c>
      <c r="I37" s="67"/>
      <c r="J37" s="123">
        <f>ROUNDDOWN(SUMIF($Q$34:$Q$36, 1,$J$34:$J$36),0)</f>
        <v>0</v>
      </c>
      <c r="K37" s="67"/>
      <c r="L37" s="123">
        <f>F37+H37+J37</f>
        <v>172</v>
      </c>
      <c r="M37" s="69"/>
    </row>
    <row r="38" spans="1:17" ht="16.5" customHeight="1">
      <c r="A38" s="88" t="s">
        <v>532</v>
      </c>
      <c r="B38" s="88" t="s">
        <v>533</v>
      </c>
      <c r="C38" s="39" t="s">
        <v>221</v>
      </c>
      <c r="D38" s="90"/>
      <c r="E38" s="90"/>
      <c r="F38" s="90"/>
      <c r="G38" s="90"/>
      <c r="H38" s="90"/>
      <c r="I38" s="90"/>
      <c r="J38" s="90"/>
      <c r="K38" s="90"/>
      <c r="L38" s="90"/>
      <c r="M38" s="71" t="s">
        <v>534</v>
      </c>
    </row>
    <row r="39" spans="1:17" ht="16.5" customHeight="1">
      <c r="A39" s="88" t="s">
        <v>352</v>
      </c>
      <c r="B39" s="88" t="s">
        <v>19</v>
      </c>
      <c r="C39" s="39" t="s">
        <v>339</v>
      </c>
      <c r="D39" s="90">
        <v>8.0000000000000004E-4</v>
      </c>
      <c r="E39" s="90"/>
      <c r="F39" s="90"/>
      <c r="G39" s="90">
        <f>ROUNDDOWN(자재단가대비표!N119,0)</f>
        <v>87805</v>
      </c>
      <c r="H39" s="90">
        <f>ROUNDDOWN(D39*G39,1)</f>
        <v>70.2</v>
      </c>
      <c r="I39" s="90"/>
      <c r="J39" s="90"/>
      <c r="K39" s="90">
        <f>E39+G39+I39</f>
        <v>87805</v>
      </c>
      <c r="L39" s="90">
        <f>F39+H39+J39</f>
        <v>70.2</v>
      </c>
      <c r="M39" s="70"/>
      <c r="O39" s="31" t="s">
        <v>462</v>
      </c>
      <c r="P39" s="31" t="s">
        <v>452</v>
      </c>
      <c r="Q39" s="27">
        <v>1</v>
      </c>
    </row>
    <row r="40" spans="1:17" ht="16.5" customHeight="1">
      <c r="A40" s="116" t="s">
        <v>419</v>
      </c>
      <c r="B40" s="65"/>
      <c r="C40" s="66"/>
      <c r="D40" s="67"/>
      <c r="E40" s="67"/>
      <c r="F40" s="123">
        <f>ROUNDDOWN(SUMIF($Q$39:$Q$39, 1,$F$39:$F$39),0)</f>
        <v>0</v>
      </c>
      <c r="G40" s="67"/>
      <c r="H40" s="123">
        <f>ROUNDDOWN(SUMIF($Q$39:$Q$39, 1,$H$39:$H$39),0)</f>
        <v>70</v>
      </c>
      <c r="I40" s="67"/>
      <c r="J40" s="123">
        <f>ROUNDDOWN(SUMIF($Q$39:$Q$39, 1,$J$39:$J$39),0)</f>
        <v>0</v>
      </c>
      <c r="K40" s="67"/>
      <c r="L40" s="123">
        <f>F40+H40+J40</f>
        <v>70</v>
      </c>
      <c r="M40" s="69"/>
    </row>
    <row r="41" spans="1:17" ht="16.5" customHeight="1">
      <c r="A41" s="88" t="s">
        <v>535</v>
      </c>
      <c r="B41" s="88" t="s">
        <v>536</v>
      </c>
      <c r="C41" s="39" t="s">
        <v>26</v>
      </c>
      <c r="D41" s="90"/>
      <c r="E41" s="90"/>
      <c r="F41" s="90"/>
      <c r="G41" s="90"/>
      <c r="H41" s="90"/>
      <c r="I41" s="90"/>
      <c r="J41" s="90"/>
      <c r="K41" s="90"/>
      <c r="L41" s="90"/>
      <c r="M41" s="71" t="s">
        <v>537</v>
      </c>
    </row>
    <row r="42" spans="1:17" ht="16.5" customHeight="1">
      <c r="A42" s="88" t="s">
        <v>215</v>
      </c>
      <c r="B42" s="88" t="s">
        <v>216</v>
      </c>
      <c r="C42" s="39" t="s">
        <v>58</v>
      </c>
      <c r="D42" s="90">
        <v>13.05</v>
      </c>
      <c r="E42" s="90">
        <f>ROUNDDOWN(자재단가대비표!N64,0)</f>
        <v>102</v>
      </c>
      <c r="F42" s="90">
        <f>ROUNDDOWN(D42*E42,1)</f>
        <v>1331.1</v>
      </c>
      <c r="G42" s="90"/>
      <c r="H42" s="90"/>
      <c r="I42" s="90"/>
      <c r="J42" s="90"/>
      <c r="K42" s="90">
        <f t="shared" ref="K42:L47" si="5">E42+G42+I42</f>
        <v>102</v>
      </c>
      <c r="L42" s="90">
        <f t="shared" si="5"/>
        <v>1331.1</v>
      </c>
      <c r="M42" s="70"/>
      <c r="O42" s="31" t="s">
        <v>457</v>
      </c>
      <c r="P42" s="31" t="s">
        <v>452</v>
      </c>
      <c r="Q42" s="27">
        <v>1</v>
      </c>
    </row>
    <row r="43" spans="1:17" ht="16.5" customHeight="1">
      <c r="A43" s="88" t="s">
        <v>105</v>
      </c>
      <c r="B43" s="88" t="s">
        <v>106</v>
      </c>
      <c r="C43" s="39" t="s">
        <v>107</v>
      </c>
      <c r="D43" s="90">
        <v>1.7000000000000001E-2</v>
      </c>
      <c r="E43" s="90">
        <f>ROUNDDOWN(자재단가대비표!N29,0)</f>
        <v>23000</v>
      </c>
      <c r="F43" s="90">
        <f>ROUNDDOWN(D43*E43,1)</f>
        <v>391</v>
      </c>
      <c r="G43" s="90"/>
      <c r="H43" s="90"/>
      <c r="I43" s="90"/>
      <c r="J43" s="90"/>
      <c r="K43" s="90">
        <f t="shared" si="5"/>
        <v>23000</v>
      </c>
      <c r="L43" s="90">
        <f t="shared" si="5"/>
        <v>391</v>
      </c>
      <c r="M43" s="70"/>
      <c r="O43" s="31" t="s">
        <v>457</v>
      </c>
      <c r="P43" s="31" t="s">
        <v>452</v>
      </c>
      <c r="Q43" s="27">
        <v>1</v>
      </c>
    </row>
    <row r="44" spans="1:17" ht="16.5" customHeight="1">
      <c r="A44" s="88" t="s">
        <v>115</v>
      </c>
      <c r="B44" s="88" t="s">
        <v>116</v>
      </c>
      <c r="C44" s="39" t="s">
        <v>72</v>
      </c>
      <c r="D44" s="90">
        <v>0.65500000000000003</v>
      </c>
      <c r="E44" s="90">
        <f>ROUNDDOWN(자재단가대비표!N31,0)</f>
        <v>3752</v>
      </c>
      <c r="F44" s="90">
        <f>ROUNDDOWN(D44*E44,1)</f>
        <v>2457.5</v>
      </c>
      <c r="G44" s="90"/>
      <c r="H44" s="90"/>
      <c r="I44" s="90"/>
      <c r="J44" s="90"/>
      <c r="K44" s="90">
        <f t="shared" si="5"/>
        <v>3752</v>
      </c>
      <c r="L44" s="90">
        <f t="shared" si="5"/>
        <v>2457.5</v>
      </c>
      <c r="M44" s="70"/>
      <c r="O44" s="31" t="s">
        <v>457</v>
      </c>
      <c r="P44" s="31" t="s">
        <v>452</v>
      </c>
      <c r="Q44" s="27">
        <v>1</v>
      </c>
    </row>
    <row r="45" spans="1:17" ht="16.5" customHeight="1">
      <c r="A45" s="88" t="s">
        <v>347</v>
      </c>
      <c r="B45" s="88" t="s">
        <v>19</v>
      </c>
      <c r="C45" s="39" t="s">
        <v>339</v>
      </c>
      <c r="D45" s="90">
        <v>6.3E-2</v>
      </c>
      <c r="E45" s="90"/>
      <c r="F45" s="90"/>
      <c r="G45" s="90">
        <f>ROUNDDOWN(자재단가대비표!N114,0)</f>
        <v>101093</v>
      </c>
      <c r="H45" s="90">
        <f>ROUNDDOWN(D45*G45,1)</f>
        <v>6368.8</v>
      </c>
      <c r="I45" s="90"/>
      <c r="J45" s="90"/>
      <c r="K45" s="90">
        <f t="shared" si="5"/>
        <v>101093</v>
      </c>
      <c r="L45" s="90">
        <f t="shared" si="5"/>
        <v>6368.8</v>
      </c>
      <c r="M45" s="70"/>
      <c r="O45" s="31" t="s">
        <v>462</v>
      </c>
      <c r="P45" s="31" t="s">
        <v>452</v>
      </c>
      <c r="Q45" s="27">
        <v>1</v>
      </c>
    </row>
    <row r="46" spans="1:17" ht="16.5" customHeight="1">
      <c r="A46" s="88" t="s">
        <v>352</v>
      </c>
      <c r="B46" s="88" t="s">
        <v>19</v>
      </c>
      <c r="C46" s="39" t="s">
        <v>339</v>
      </c>
      <c r="D46" s="90">
        <v>3.5000000000000003E-2</v>
      </c>
      <c r="E46" s="90"/>
      <c r="F46" s="90"/>
      <c r="G46" s="90">
        <f>ROUNDDOWN(자재단가대비표!N119,0)</f>
        <v>87805</v>
      </c>
      <c r="H46" s="90">
        <f>ROUNDDOWN(D46*G46,1)</f>
        <v>3073.1</v>
      </c>
      <c r="I46" s="90"/>
      <c r="J46" s="90"/>
      <c r="K46" s="90">
        <f t="shared" si="5"/>
        <v>87805</v>
      </c>
      <c r="L46" s="90">
        <f t="shared" si="5"/>
        <v>3073.1</v>
      </c>
      <c r="M46" s="70"/>
      <c r="O46" s="31" t="s">
        <v>462</v>
      </c>
      <c r="P46" s="31" t="s">
        <v>452</v>
      </c>
      <c r="Q46" s="27">
        <v>1</v>
      </c>
    </row>
    <row r="47" spans="1:17" ht="16.5" customHeight="1">
      <c r="A47" s="88" t="s">
        <v>538</v>
      </c>
      <c r="B47" s="34" t="str">
        <f>"노무비의 "&amp;N47*100&amp;"%"</f>
        <v>노무비의 3%</v>
      </c>
      <c r="C47" s="39" t="s">
        <v>459</v>
      </c>
      <c r="D47" s="94" t="s">
        <v>460</v>
      </c>
      <c r="E47" s="90">
        <f>SUMIF($O$41:O47, "02", $H$41:H47)</f>
        <v>9441.9</v>
      </c>
      <c r="F47" s="90">
        <f>ROUNDDOWN(E47*N47,1)</f>
        <v>283.2</v>
      </c>
      <c r="G47" s="90"/>
      <c r="H47" s="90"/>
      <c r="I47" s="90"/>
      <c r="J47" s="90"/>
      <c r="K47" s="90">
        <f t="shared" si="5"/>
        <v>9441.9</v>
      </c>
      <c r="L47" s="90">
        <f t="shared" si="5"/>
        <v>283.2</v>
      </c>
      <c r="M47" s="71" t="s">
        <v>539</v>
      </c>
      <c r="N47" s="32">
        <v>0.03</v>
      </c>
      <c r="P47" s="31" t="s">
        <v>452</v>
      </c>
      <c r="Q47" s="27">
        <v>1</v>
      </c>
    </row>
    <row r="48" spans="1:17" ht="16.5" customHeight="1">
      <c r="A48" s="116" t="s">
        <v>419</v>
      </c>
      <c r="B48" s="65"/>
      <c r="C48" s="66"/>
      <c r="D48" s="67"/>
      <c r="E48" s="67"/>
      <c r="F48" s="123">
        <f>ROUNDDOWN(SUMIF($Q$42:$Q$47, 1,$F$42:$F$47),0)</f>
        <v>4462</v>
      </c>
      <c r="G48" s="67"/>
      <c r="H48" s="123">
        <f>ROUNDDOWN(SUMIF($Q$42:$Q$47, 1,$H$42:$H$47),0)</f>
        <v>9441</v>
      </c>
      <c r="I48" s="67"/>
      <c r="J48" s="123">
        <f>ROUNDDOWN(SUMIF($Q$42:$Q$47, 1,$J$42:$J$47),0)</f>
        <v>0</v>
      </c>
      <c r="K48" s="67"/>
      <c r="L48" s="123">
        <f>F48+H48+J48</f>
        <v>13903</v>
      </c>
      <c r="M48" s="69"/>
    </row>
    <row r="49" spans="1:17" ht="16.5" customHeight="1">
      <c r="A49" s="88" t="s">
        <v>540</v>
      </c>
      <c r="B49" s="88" t="s">
        <v>541</v>
      </c>
      <c r="C49" s="39" t="s">
        <v>26</v>
      </c>
      <c r="D49" s="90"/>
      <c r="E49" s="90"/>
      <c r="F49" s="90"/>
      <c r="G49" s="90"/>
      <c r="H49" s="90"/>
      <c r="I49" s="90"/>
      <c r="J49" s="90"/>
      <c r="K49" s="90"/>
      <c r="L49" s="90"/>
      <c r="M49" s="71" t="s">
        <v>537</v>
      </c>
    </row>
    <row r="50" spans="1:17" ht="16.5" customHeight="1">
      <c r="A50" s="88" t="s">
        <v>215</v>
      </c>
      <c r="B50" s="88" t="s">
        <v>216</v>
      </c>
      <c r="C50" s="39" t="s">
        <v>58</v>
      </c>
      <c r="D50" s="90">
        <v>7.2</v>
      </c>
      <c r="E50" s="90">
        <f>ROUNDDOWN(자재단가대비표!N64,0)</f>
        <v>102</v>
      </c>
      <c r="F50" s="90">
        <f>ROUNDDOWN(D50*E50,1)</f>
        <v>734.4</v>
      </c>
      <c r="G50" s="90"/>
      <c r="H50" s="90"/>
      <c r="I50" s="90"/>
      <c r="J50" s="90"/>
      <c r="K50" s="90">
        <f t="shared" ref="K50:L55" si="6">E50+G50+I50</f>
        <v>102</v>
      </c>
      <c r="L50" s="90">
        <f t="shared" si="6"/>
        <v>734.4</v>
      </c>
      <c r="M50" s="70"/>
      <c r="O50" s="31" t="s">
        <v>457</v>
      </c>
      <c r="P50" s="31" t="s">
        <v>452</v>
      </c>
      <c r="Q50" s="27">
        <v>1</v>
      </c>
    </row>
    <row r="51" spans="1:17" ht="16.5" customHeight="1">
      <c r="A51" s="88" t="s">
        <v>105</v>
      </c>
      <c r="B51" s="88" t="s">
        <v>106</v>
      </c>
      <c r="C51" s="39" t="s">
        <v>107</v>
      </c>
      <c r="D51" s="90">
        <v>0.01</v>
      </c>
      <c r="E51" s="90">
        <f>ROUNDDOWN(자재단가대비표!N29,0)</f>
        <v>23000</v>
      </c>
      <c r="F51" s="90">
        <f>ROUNDDOWN(D51*E51,1)</f>
        <v>230</v>
      </c>
      <c r="G51" s="90"/>
      <c r="H51" s="90"/>
      <c r="I51" s="90"/>
      <c r="J51" s="90"/>
      <c r="K51" s="90">
        <f t="shared" si="6"/>
        <v>23000</v>
      </c>
      <c r="L51" s="90">
        <f t="shared" si="6"/>
        <v>230</v>
      </c>
      <c r="M51" s="70"/>
      <c r="O51" s="31" t="s">
        <v>457</v>
      </c>
      <c r="P51" s="31" t="s">
        <v>452</v>
      </c>
      <c r="Q51" s="27">
        <v>1</v>
      </c>
    </row>
    <row r="52" spans="1:17" ht="16.5" customHeight="1">
      <c r="A52" s="88" t="s">
        <v>115</v>
      </c>
      <c r="B52" s="88" t="s">
        <v>116</v>
      </c>
      <c r="C52" s="39" t="s">
        <v>72</v>
      </c>
      <c r="D52" s="90">
        <v>0.46</v>
      </c>
      <c r="E52" s="90">
        <f>ROUNDDOWN(자재단가대비표!N31,0)</f>
        <v>3752</v>
      </c>
      <c r="F52" s="90">
        <f>ROUNDDOWN(D52*E52,1)</f>
        <v>1725.9</v>
      </c>
      <c r="G52" s="90"/>
      <c r="H52" s="90"/>
      <c r="I52" s="90"/>
      <c r="J52" s="90"/>
      <c r="K52" s="90">
        <f t="shared" si="6"/>
        <v>3752</v>
      </c>
      <c r="L52" s="90">
        <f t="shared" si="6"/>
        <v>1725.9</v>
      </c>
      <c r="M52" s="70"/>
      <c r="O52" s="31" t="s">
        <v>457</v>
      </c>
      <c r="P52" s="31" t="s">
        <v>452</v>
      </c>
      <c r="Q52" s="27">
        <v>1</v>
      </c>
    </row>
    <row r="53" spans="1:17" ht="16.5" customHeight="1">
      <c r="A53" s="88" t="s">
        <v>347</v>
      </c>
      <c r="B53" s="88" t="s">
        <v>19</v>
      </c>
      <c r="C53" s="39" t="s">
        <v>339</v>
      </c>
      <c r="D53" s="90">
        <v>4.9000000000000002E-2</v>
      </c>
      <c r="E53" s="90"/>
      <c r="F53" s="90"/>
      <c r="G53" s="90">
        <f>ROUNDDOWN(자재단가대비표!N114,0)</f>
        <v>101093</v>
      </c>
      <c r="H53" s="90">
        <f>ROUNDDOWN(D53*G53,1)</f>
        <v>4953.5</v>
      </c>
      <c r="I53" s="90"/>
      <c r="J53" s="90"/>
      <c r="K53" s="90">
        <f t="shared" si="6"/>
        <v>101093</v>
      </c>
      <c r="L53" s="90">
        <f t="shared" si="6"/>
        <v>4953.5</v>
      </c>
      <c r="M53" s="70"/>
      <c r="O53" s="31" t="s">
        <v>462</v>
      </c>
      <c r="P53" s="31" t="s">
        <v>452</v>
      </c>
      <c r="Q53" s="27">
        <v>1</v>
      </c>
    </row>
    <row r="54" spans="1:17" ht="16.5" customHeight="1">
      <c r="A54" s="88" t="s">
        <v>352</v>
      </c>
      <c r="B54" s="88" t="s">
        <v>19</v>
      </c>
      <c r="C54" s="39" t="s">
        <v>339</v>
      </c>
      <c r="D54" s="90">
        <v>2.8000000000000001E-2</v>
      </c>
      <c r="E54" s="90"/>
      <c r="F54" s="90"/>
      <c r="G54" s="90">
        <f>ROUNDDOWN(자재단가대비표!N119,0)</f>
        <v>87805</v>
      </c>
      <c r="H54" s="90">
        <f>ROUNDDOWN(D54*G54,1)</f>
        <v>2458.5</v>
      </c>
      <c r="I54" s="90"/>
      <c r="J54" s="90"/>
      <c r="K54" s="90">
        <f t="shared" si="6"/>
        <v>87805</v>
      </c>
      <c r="L54" s="90">
        <f t="shared" si="6"/>
        <v>2458.5</v>
      </c>
      <c r="M54" s="70"/>
      <c r="O54" s="31" t="s">
        <v>462</v>
      </c>
      <c r="P54" s="31" t="s">
        <v>452</v>
      </c>
      <c r="Q54" s="27">
        <v>1</v>
      </c>
    </row>
    <row r="55" spans="1:17" ht="16.5" customHeight="1">
      <c r="A55" s="88" t="s">
        <v>538</v>
      </c>
      <c r="B55" s="34" t="str">
        <f>"노무비의 "&amp;N55*100&amp;"%"</f>
        <v>노무비의 3%</v>
      </c>
      <c r="C55" s="39" t="s">
        <v>459</v>
      </c>
      <c r="D55" s="94" t="s">
        <v>460</v>
      </c>
      <c r="E55" s="90">
        <f>SUMIF($O$49:O55, "02", $H$49:H55)</f>
        <v>7412</v>
      </c>
      <c r="F55" s="90">
        <f>ROUNDDOWN(E55*N55,1)</f>
        <v>222.3</v>
      </c>
      <c r="G55" s="90"/>
      <c r="H55" s="90"/>
      <c r="I55" s="90"/>
      <c r="J55" s="90"/>
      <c r="K55" s="90">
        <f t="shared" si="6"/>
        <v>7412</v>
      </c>
      <c r="L55" s="90">
        <f t="shared" si="6"/>
        <v>222.3</v>
      </c>
      <c r="M55" s="71" t="s">
        <v>539</v>
      </c>
      <c r="N55" s="32">
        <v>0.03</v>
      </c>
      <c r="P55" s="31" t="s">
        <v>452</v>
      </c>
      <c r="Q55" s="27">
        <v>1</v>
      </c>
    </row>
    <row r="56" spans="1:17" ht="16.5" customHeight="1">
      <c r="A56" s="116" t="s">
        <v>419</v>
      </c>
      <c r="B56" s="65"/>
      <c r="C56" s="66"/>
      <c r="D56" s="67"/>
      <c r="E56" s="67"/>
      <c r="F56" s="123">
        <f>ROUNDDOWN(SUMIF($Q$50:$Q$55, 1,$F$50:$F$55),0)</f>
        <v>2912</v>
      </c>
      <c r="G56" s="67"/>
      <c r="H56" s="123">
        <f>ROUNDDOWN(SUMIF($Q$50:$Q$55, 1,$H$50:$H$55),0)</f>
        <v>7412</v>
      </c>
      <c r="I56" s="67"/>
      <c r="J56" s="123">
        <f>ROUNDDOWN(SUMIF($Q$50:$Q$55, 1,$J$50:$J$55),0)</f>
        <v>0</v>
      </c>
      <c r="K56" s="67"/>
      <c r="L56" s="123">
        <f>F56+H56+J56</f>
        <v>10324</v>
      </c>
      <c r="M56" s="69"/>
    </row>
    <row r="57" spans="1:17" ht="16.5" customHeight="1">
      <c r="A57" s="88" t="s">
        <v>542</v>
      </c>
      <c r="B57" s="88" t="s">
        <v>543</v>
      </c>
      <c r="C57" s="39" t="s">
        <v>26</v>
      </c>
      <c r="D57" s="90"/>
      <c r="E57" s="90"/>
      <c r="F57" s="90"/>
      <c r="G57" s="90"/>
      <c r="H57" s="90"/>
      <c r="I57" s="90"/>
      <c r="J57" s="90"/>
      <c r="K57" s="90"/>
      <c r="L57" s="90"/>
      <c r="M57" s="71" t="s">
        <v>544</v>
      </c>
    </row>
    <row r="58" spans="1:17" ht="16.5" customHeight="1">
      <c r="A58" s="88" t="s">
        <v>347</v>
      </c>
      <c r="B58" s="88" t="s">
        <v>19</v>
      </c>
      <c r="C58" s="39" t="s">
        <v>339</v>
      </c>
      <c r="D58" s="90">
        <v>4.1999999999999996E-2</v>
      </c>
      <c r="E58" s="90"/>
      <c r="F58" s="90"/>
      <c r="G58" s="90">
        <f>ROUNDDOWN(자재단가대비표!N114,0)</f>
        <v>101093</v>
      </c>
      <c r="H58" s="90">
        <f>ROUNDDOWN(D58*G58,1)</f>
        <v>4245.8999999999996</v>
      </c>
      <c r="I58" s="90"/>
      <c r="J58" s="90"/>
      <c r="K58" s="90">
        <f t="shared" ref="K58:L60" si="7">E58+G58+I58</f>
        <v>101093</v>
      </c>
      <c r="L58" s="90">
        <f t="shared" si="7"/>
        <v>4245.8999999999996</v>
      </c>
      <c r="M58" s="70"/>
      <c r="O58" s="31" t="s">
        <v>462</v>
      </c>
      <c r="P58" s="31" t="s">
        <v>452</v>
      </c>
      <c r="Q58" s="27">
        <v>1</v>
      </c>
    </row>
    <row r="59" spans="1:17" ht="16.5" customHeight="1">
      <c r="A59" s="88" t="s">
        <v>352</v>
      </c>
      <c r="B59" s="88" t="s">
        <v>19</v>
      </c>
      <c r="C59" s="39" t="s">
        <v>339</v>
      </c>
      <c r="D59" s="90">
        <v>2.0999999999999998E-2</v>
      </c>
      <c r="E59" s="90"/>
      <c r="F59" s="90"/>
      <c r="G59" s="90">
        <f>ROUNDDOWN(자재단가대비표!N119,0)</f>
        <v>87805</v>
      </c>
      <c r="H59" s="90">
        <f>ROUNDDOWN(D59*G59,1)</f>
        <v>1843.9</v>
      </c>
      <c r="I59" s="90"/>
      <c r="J59" s="90"/>
      <c r="K59" s="90">
        <f t="shared" si="7"/>
        <v>87805</v>
      </c>
      <c r="L59" s="90">
        <f t="shared" si="7"/>
        <v>1843.9</v>
      </c>
      <c r="M59" s="70"/>
      <c r="O59" s="31" t="s">
        <v>462</v>
      </c>
      <c r="P59" s="31" t="s">
        <v>452</v>
      </c>
      <c r="Q59" s="27">
        <v>1</v>
      </c>
    </row>
    <row r="60" spans="1:17" ht="16.5" customHeight="1">
      <c r="A60" s="88" t="s">
        <v>538</v>
      </c>
      <c r="B60" s="34" t="str">
        <f>"노무비의 "&amp;N60*100&amp;"%"</f>
        <v>노무비의 3%</v>
      </c>
      <c r="C60" s="39" t="s">
        <v>459</v>
      </c>
      <c r="D60" s="94" t="s">
        <v>460</v>
      </c>
      <c r="E60" s="90">
        <f>SUMIF($O$57:O60, "02", $H$57:H60)</f>
        <v>6089.7999999999993</v>
      </c>
      <c r="F60" s="90">
        <f>ROUNDDOWN(E60*N60,1)</f>
        <v>182.6</v>
      </c>
      <c r="G60" s="90"/>
      <c r="H60" s="90"/>
      <c r="I60" s="90"/>
      <c r="J60" s="90"/>
      <c r="K60" s="90">
        <f t="shared" si="7"/>
        <v>6089.7999999999993</v>
      </c>
      <c r="L60" s="90">
        <f t="shared" si="7"/>
        <v>182.6</v>
      </c>
      <c r="M60" s="71" t="s">
        <v>539</v>
      </c>
      <c r="N60" s="32">
        <v>0.03</v>
      </c>
      <c r="P60" s="31" t="s">
        <v>452</v>
      </c>
      <c r="Q60" s="27">
        <v>1</v>
      </c>
    </row>
    <row r="61" spans="1:17" ht="16.5" customHeight="1">
      <c r="A61" s="116" t="s">
        <v>419</v>
      </c>
      <c r="B61" s="65"/>
      <c r="C61" s="66"/>
      <c r="D61" s="67"/>
      <c r="E61" s="67"/>
      <c r="F61" s="123">
        <f>ROUNDDOWN(SUMIF($Q$58:$Q$60, 1,$F$58:$F$60),0)</f>
        <v>182</v>
      </c>
      <c r="G61" s="67"/>
      <c r="H61" s="123">
        <f>ROUNDDOWN(SUMIF($Q$58:$Q$60, 1,$H$58:$H$60),0)</f>
        <v>6089</v>
      </c>
      <c r="I61" s="67"/>
      <c r="J61" s="123">
        <f>ROUNDDOWN(SUMIF($Q$58:$Q$60, 1,$J$58:$J$60),0)</f>
        <v>0</v>
      </c>
      <c r="K61" s="67"/>
      <c r="L61" s="123">
        <f>F61+H61+J61</f>
        <v>6271</v>
      </c>
      <c r="M61" s="69"/>
    </row>
    <row r="62" spans="1:17" ht="16.5" customHeight="1">
      <c r="A62" s="88" t="s">
        <v>545</v>
      </c>
      <c r="B62" s="88" t="s">
        <v>546</v>
      </c>
      <c r="C62" s="39" t="s">
        <v>26</v>
      </c>
      <c r="D62" s="90"/>
      <c r="E62" s="90"/>
      <c r="F62" s="90"/>
      <c r="G62" s="90"/>
      <c r="H62" s="90"/>
      <c r="I62" s="90"/>
      <c r="J62" s="90"/>
      <c r="K62" s="90"/>
      <c r="L62" s="90"/>
      <c r="M62" s="71" t="s">
        <v>547</v>
      </c>
    </row>
    <row r="63" spans="1:17" ht="16.5" customHeight="1">
      <c r="A63" s="88" t="s">
        <v>548</v>
      </c>
      <c r="B63" s="88" t="s">
        <v>549</v>
      </c>
      <c r="C63" s="39" t="s">
        <v>107</v>
      </c>
      <c r="D63" s="90">
        <v>2.4E-2</v>
      </c>
      <c r="E63" s="90">
        <f>ROUNDDOWN(일위대가표!F71,0)</f>
        <v>77320</v>
      </c>
      <c r="F63" s="90">
        <f>ROUNDDOWN(D63*E63,1)</f>
        <v>1855.6</v>
      </c>
      <c r="G63" s="90">
        <f>ROUNDDOWN(일위대가표!H71,0)</f>
        <v>40565</v>
      </c>
      <c r="H63" s="90">
        <f>ROUNDDOWN(D63*G63,1)</f>
        <v>973.5</v>
      </c>
      <c r="I63" s="90"/>
      <c r="J63" s="90"/>
      <c r="K63" s="90">
        <f t="shared" ref="K63:L65" si="8">E63+G63+I63</f>
        <v>117885</v>
      </c>
      <c r="L63" s="90">
        <f t="shared" si="8"/>
        <v>2829.1</v>
      </c>
      <c r="M63" s="71" t="s">
        <v>550</v>
      </c>
      <c r="P63" s="31" t="s">
        <v>452</v>
      </c>
      <c r="Q63" s="27">
        <v>1</v>
      </c>
    </row>
    <row r="64" spans="1:17" ht="16.5" customHeight="1">
      <c r="A64" s="88" t="s">
        <v>350</v>
      </c>
      <c r="B64" s="88" t="s">
        <v>19</v>
      </c>
      <c r="C64" s="39" t="s">
        <v>339</v>
      </c>
      <c r="D64" s="90">
        <v>2.4500000000000001E-2</v>
      </c>
      <c r="E64" s="90"/>
      <c r="F64" s="90"/>
      <c r="G64" s="90">
        <f>ROUNDDOWN(자재단가대비표!N117,0)</f>
        <v>140811</v>
      </c>
      <c r="H64" s="90">
        <f>ROUNDDOWN(D64*G64,1)</f>
        <v>3449.8</v>
      </c>
      <c r="I64" s="90"/>
      <c r="J64" s="90"/>
      <c r="K64" s="90">
        <f t="shared" si="8"/>
        <v>140811</v>
      </c>
      <c r="L64" s="90">
        <f t="shared" si="8"/>
        <v>3449.8</v>
      </c>
      <c r="M64" s="70"/>
      <c r="O64" s="31" t="s">
        <v>462</v>
      </c>
      <c r="P64" s="31" t="s">
        <v>452</v>
      </c>
      <c r="Q64" s="27">
        <v>1</v>
      </c>
    </row>
    <row r="65" spans="1:17" ht="16.5" customHeight="1">
      <c r="A65" s="88" t="s">
        <v>352</v>
      </c>
      <c r="B65" s="88" t="s">
        <v>19</v>
      </c>
      <c r="C65" s="39" t="s">
        <v>339</v>
      </c>
      <c r="D65" s="90">
        <v>1.2599999999999998E-2</v>
      </c>
      <c r="E65" s="90"/>
      <c r="F65" s="90"/>
      <c r="G65" s="90">
        <f>ROUNDDOWN(자재단가대비표!N119,0)</f>
        <v>87805</v>
      </c>
      <c r="H65" s="90">
        <f>ROUNDDOWN(D65*G65,1)</f>
        <v>1106.3</v>
      </c>
      <c r="I65" s="90"/>
      <c r="J65" s="90"/>
      <c r="K65" s="90">
        <f t="shared" si="8"/>
        <v>87805</v>
      </c>
      <c r="L65" s="90">
        <f t="shared" si="8"/>
        <v>1106.3</v>
      </c>
      <c r="M65" s="70"/>
      <c r="O65" s="31" t="s">
        <v>462</v>
      </c>
      <c r="P65" s="31" t="s">
        <v>452</v>
      </c>
      <c r="Q65" s="27">
        <v>1</v>
      </c>
    </row>
    <row r="66" spans="1:17" ht="16.5" customHeight="1">
      <c r="A66" s="116" t="s">
        <v>419</v>
      </c>
      <c r="B66" s="65"/>
      <c r="C66" s="66"/>
      <c r="D66" s="67"/>
      <c r="E66" s="67"/>
      <c r="F66" s="123">
        <f>ROUNDDOWN(SUMIF($Q$63:$Q$65, 1,$F$63:$F$65),0)</f>
        <v>1855</v>
      </c>
      <c r="G66" s="67"/>
      <c r="H66" s="123">
        <f>ROUNDDOWN(SUMIF($Q$63:$Q$65, 1,$H$63:$H$65),0)</f>
        <v>5529</v>
      </c>
      <c r="I66" s="67"/>
      <c r="J66" s="123">
        <f>ROUNDDOWN(SUMIF($Q$63:$Q$65, 1,$J$63:$J$65),0)</f>
        <v>0</v>
      </c>
      <c r="K66" s="67"/>
      <c r="L66" s="123">
        <f>F66+H66+J66</f>
        <v>7384</v>
      </c>
      <c r="M66" s="69"/>
    </row>
    <row r="67" spans="1:17" ht="16.5" customHeight="1">
      <c r="A67" s="88" t="s">
        <v>551</v>
      </c>
      <c r="B67" s="88" t="s">
        <v>549</v>
      </c>
      <c r="C67" s="39" t="s">
        <v>107</v>
      </c>
      <c r="D67" s="90"/>
      <c r="E67" s="90"/>
      <c r="F67" s="90"/>
      <c r="G67" s="90"/>
      <c r="H67" s="90"/>
      <c r="I67" s="90"/>
      <c r="J67" s="90"/>
      <c r="K67" s="90"/>
      <c r="L67" s="90"/>
      <c r="M67" s="71" t="s">
        <v>530</v>
      </c>
    </row>
    <row r="68" spans="1:17" ht="16.5" customHeight="1">
      <c r="A68" s="88" t="s">
        <v>215</v>
      </c>
      <c r="B68" s="88" t="s">
        <v>216</v>
      </c>
      <c r="C68" s="39" t="s">
        <v>58</v>
      </c>
      <c r="D68" s="90">
        <v>510</v>
      </c>
      <c r="E68" s="90">
        <f>ROUNDDOWN(자재단가대비표!N64,0)</f>
        <v>102</v>
      </c>
      <c r="F68" s="90">
        <f>ROUNDDOWN(D68*E68,1)</f>
        <v>52020</v>
      </c>
      <c r="G68" s="90"/>
      <c r="H68" s="90"/>
      <c r="I68" s="90"/>
      <c r="J68" s="90"/>
      <c r="K68" s="90">
        <f t="shared" ref="K68:L70" si="9">E68+G68+I68</f>
        <v>102</v>
      </c>
      <c r="L68" s="90">
        <f t="shared" si="9"/>
        <v>52020</v>
      </c>
      <c r="M68" s="70"/>
      <c r="O68" s="31" t="s">
        <v>457</v>
      </c>
      <c r="P68" s="31" t="s">
        <v>452</v>
      </c>
      <c r="Q68" s="27">
        <v>1</v>
      </c>
    </row>
    <row r="69" spans="1:17" ht="16.5" customHeight="1">
      <c r="A69" s="88" t="s">
        <v>105</v>
      </c>
      <c r="B69" s="88" t="s">
        <v>106</v>
      </c>
      <c r="C69" s="39" t="s">
        <v>107</v>
      </c>
      <c r="D69" s="90">
        <v>1.1000000000000001</v>
      </c>
      <c r="E69" s="90">
        <f>ROUNDDOWN(자재단가대비표!N29,0)</f>
        <v>23000</v>
      </c>
      <c r="F69" s="90">
        <f>ROUNDDOWN(D69*E69,1)</f>
        <v>25300</v>
      </c>
      <c r="G69" s="90"/>
      <c r="H69" s="90"/>
      <c r="I69" s="90"/>
      <c r="J69" s="90"/>
      <c r="K69" s="90">
        <f t="shared" si="9"/>
        <v>23000</v>
      </c>
      <c r="L69" s="90">
        <f t="shared" si="9"/>
        <v>25300</v>
      </c>
      <c r="M69" s="70"/>
      <c r="O69" s="31" t="s">
        <v>457</v>
      </c>
      <c r="P69" s="31" t="s">
        <v>452</v>
      </c>
      <c r="Q69" s="27">
        <v>1</v>
      </c>
    </row>
    <row r="70" spans="1:17" ht="16.5" customHeight="1">
      <c r="A70" s="88" t="s">
        <v>352</v>
      </c>
      <c r="B70" s="88" t="s">
        <v>19</v>
      </c>
      <c r="C70" s="39" t="s">
        <v>339</v>
      </c>
      <c r="D70" s="90">
        <v>0.46200000000000002</v>
      </c>
      <c r="E70" s="90"/>
      <c r="F70" s="90"/>
      <c r="G70" s="90">
        <f>ROUNDDOWN(자재단가대비표!N119,0)</f>
        <v>87805</v>
      </c>
      <c r="H70" s="90">
        <f>ROUNDDOWN(D70*G70,1)</f>
        <v>40565.9</v>
      </c>
      <c r="I70" s="90"/>
      <c r="J70" s="90"/>
      <c r="K70" s="90">
        <f t="shared" si="9"/>
        <v>87805</v>
      </c>
      <c r="L70" s="90">
        <f t="shared" si="9"/>
        <v>40565.9</v>
      </c>
      <c r="M70" s="70"/>
      <c r="O70" s="31" t="s">
        <v>462</v>
      </c>
      <c r="P70" s="31" t="s">
        <v>452</v>
      </c>
      <c r="Q70" s="27">
        <v>1</v>
      </c>
    </row>
    <row r="71" spans="1:17" ht="16.5" customHeight="1">
      <c r="A71" s="116" t="s">
        <v>419</v>
      </c>
      <c r="B71" s="65"/>
      <c r="C71" s="66"/>
      <c r="D71" s="67"/>
      <c r="E71" s="67"/>
      <c r="F71" s="123">
        <f>ROUNDDOWN(SUMIF($Q$68:$Q$70, 1,$F$68:$F$70),0)</f>
        <v>77320</v>
      </c>
      <c r="G71" s="67"/>
      <c r="H71" s="123">
        <f>ROUNDDOWN(SUMIF($Q$68:$Q$70, 1,$H$68:$H$70),0)</f>
        <v>40565</v>
      </c>
      <c r="I71" s="67"/>
      <c r="J71" s="123">
        <f>ROUNDDOWN(SUMIF($Q$68:$Q$70, 1,$J$68:$J$70),0)</f>
        <v>0</v>
      </c>
      <c r="K71" s="67"/>
      <c r="L71" s="123">
        <f>F71+H71+J71</f>
        <v>117885</v>
      </c>
      <c r="M71" s="69"/>
    </row>
    <row r="72" spans="1:17" ht="16.5" customHeight="1">
      <c r="A72" s="88" t="s">
        <v>552</v>
      </c>
      <c r="B72" s="88" t="s">
        <v>553</v>
      </c>
      <c r="C72" s="39" t="s">
        <v>26</v>
      </c>
      <c r="D72" s="90"/>
      <c r="E72" s="90"/>
      <c r="F72" s="90"/>
      <c r="G72" s="90"/>
      <c r="H72" s="90"/>
      <c r="I72" s="90"/>
      <c r="J72" s="90"/>
      <c r="K72" s="90"/>
      <c r="L72" s="90"/>
      <c r="M72" s="71" t="s">
        <v>547</v>
      </c>
    </row>
    <row r="73" spans="1:17" ht="16.5" customHeight="1">
      <c r="A73" s="88" t="s">
        <v>548</v>
      </c>
      <c r="B73" s="88" t="s">
        <v>549</v>
      </c>
      <c r="C73" s="39" t="s">
        <v>107</v>
      </c>
      <c r="D73" s="90">
        <v>1.7999999999999999E-2</v>
      </c>
      <c r="E73" s="90">
        <f>ROUNDDOWN(일위대가표!F71,0)</f>
        <v>77320</v>
      </c>
      <c r="F73" s="90">
        <f>ROUNDDOWN(D73*E73,1)</f>
        <v>1391.7</v>
      </c>
      <c r="G73" s="90">
        <f>ROUNDDOWN(일위대가표!H71,0)</f>
        <v>40565</v>
      </c>
      <c r="H73" s="90">
        <f>ROUNDDOWN(D73*G73,1)</f>
        <v>730.1</v>
      </c>
      <c r="I73" s="90"/>
      <c r="J73" s="90"/>
      <c r="K73" s="90">
        <f t="shared" ref="K73:L75" si="10">E73+G73+I73</f>
        <v>117885</v>
      </c>
      <c r="L73" s="90">
        <f t="shared" si="10"/>
        <v>2121.8000000000002</v>
      </c>
      <c r="M73" s="71" t="s">
        <v>550</v>
      </c>
      <c r="P73" s="31" t="s">
        <v>452</v>
      </c>
      <c r="Q73" s="27">
        <v>1</v>
      </c>
    </row>
    <row r="74" spans="1:17" ht="16.5" customHeight="1">
      <c r="A74" s="88" t="s">
        <v>350</v>
      </c>
      <c r="B74" s="88" t="s">
        <v>19</v>
      </c>
      <c r="C74" s="39" t="s">
        <v>339</v>
      </c>
      <c r="D74" s="90">
        <v>3.2899999999999999E-2</v>
      </c>
      <c r="E74" s="90"/>
      <c r="F74" s="90"/>
      <c r="G74" s="90">
        <f>ROUNDDOWN(자재단가대비표!N117,0)</f>
        <v>140811</v>
      </c>
      <c r="H74" s="90">
        <f>ROUNDDOWN(D74*G74,1)</f>
        <v>4632.6000000000004</v>
      </c>
      <c r="I74" s="90"/>
      <c r="J74" s="90"/>
      <c r="K74" s="90">
        <f t="shared" si="10"/>
        <v>140811</v>
      </c>
      <c r="L74" s="90">
        <f t="shared" si="10"/>
        <v>4632.6000000000004</v>
      </c>
      <c r="M74" s="70"/>
      <c r="O74" s="31" t="s">
        <v>462</v>
      </c>
      <c r="P74" s="31" t="s">
        <v>452</v>
      </c>
      <c r="Q74" s="27">
        <v>1</v>
      </c>
    </row>
    <row r="75" spans="1:17" ht="16.5" customHeight="1">
      <c r="A75" s="88" t="s">
        <v>352</v>
      </c>
      <c r="B75" s="88" t="s">
        <v>19</v>
      </c>
      <c r="C75" s="39" t="s">
        <v>339</v>
      </c>
      <c r="D75" s="90">
        <v>1.61E-2</v>
      </c>
      <c r="E75" s="90"/>
      <c r="F75" s="90"/>
      <c r="G75" s="90">
        <f>ROUNDDOWN(자재단가대비표!N119,0)</f>
        <v>87805</v>
      </c>
      <c r="H75" s="90">
        <f>ROUNDDOWN(D75*G75,1)</f>
        <v>1413.6</v>
      </c>
      <c r="I75" s="90"/>
      <c r="J75" s="90"/>
      <c r="K75" s="90">
        <f t="shared" si="10"/>
        <v>87805</v>
      </c>
      <c r="L75" s="90">
        <f t="shared" si="10"/>
        <v>1413.6</v>
      </c>
      <c r="M75" s="70"/>
      <c r="O75" s="31" t="s">
        <v>462</v>
      </c>
      <c r="P75" s="31" t="s">
        <v>452</v>
      </c>
      <c r="Q75" s="27">
        <v>1</v>
      </c>
    </row>
    <row r="76" spans="1:17" ht="16.5" customHeight="1">
      <c r="A76" s="116" t="s">
        <v>419</v>
      </c>
      <c r="B76" s="65"/>
      <c r="C76" s="66"/>
      <c r="D76" s="67"/>
      <c r="E76" s="67"/>
      <c r="F76" s="123">
        <f>ROUNDDOWN(SUMIF($Q$73:$Q$75, 1,$F$73:$F$75),0)</f>
        <v>1391</v>
      </c>
      <c r="G76" s="67"/>
      <c r="H76" s="123">
        <f>ROUNDDOWN(SUMIF($Q$73:$Q$75, 1,$H$73:$H$75),0)</f>
        <v>6776</v>
      </c>
      <c r="I76" s="67"/>
      <c r="J76" s="123">
        <f>ROUNDDOWN(SUMIF($Q$73:$Q$75, 1,$J$73:$J$75),0)</f>
        <v>0</v>
      </c>
      <c r="K76" s="67"/>
      <c r="L76" s="123">
        <f>F76+H76+J76</f>
        <v>8167</v>
      </c>
      <c r="M76" s="69"/>
    </row>
    <row r="77" spans="1:17" ht="16.5" customHeight="1">
      <c r="A77" s="88" t="s">
        <v>554</v>
      </c>
      <c r="B77" s="88" t="s">
        <v>555</v>
      </c>
      <c r="C77" s="39" t="s">
        <v>26</v>
      </c>
      <c r="D77" s="90"/>
      <c r="E77" s="90"/>
      <c r="F77" s="90"/>
      <c r="G77" s="90"/>
      <c r="H77" s="90"/>
      <c r="I77" s="90"/>
      <c r="J77" s="90"/>
      <c r="K77" s="90"/>
      <c r="L77" s="90"/>
      <c r="M77" s="71" t="s">
        <v>556</v>
      </c>
    </row>
    <row r="78" spans="1:17" ht="16.5" customHeight="1">
      <c r="A78" s="88" t="s">
        <v>548</v>
      </c>
      <c r="B78" s="88" t="s">
        <v>549</v>
      </c>
      <c r="C78" s="39" t="s">
        <v>107</v>
      </c>
      <c r="D78" s="90">
        <v>1.7999999999999999E-2</v>
      </c>
      <c r="E78" s="90">
        <f>ROUNDDOWN(일위대가표!F71,0)</f>
        <v>77320</v>
      </c>
      <c r="F78" s="90">
        <f>ROUNDDOWN(D78*E78,1)</f>
        <v>1391.7</v>
      </c>
      <c r="G78" s="90">
        <f>ROUNDDOWN(일위대가표!H71,0)</f>
        <v>40565</v>
      </c>
      <c r="H78" s="90">
        <f>ROUNDDOWN(D78*G78,1)</f>
        <v>730.1</v>
      </c>
      <c r="I78" s="90"/>
      <c r="J78" s="90"/>
      <c r="K78" s="90">
        <f t="shared" ref="K78:L81" si="11">E78+G78+I78</f>
        <v>117885</v>
      </c>
      <c r="L78" s="90">
        <f t="shared" si="11"/>
        <v>2121.8000000000002</v>
      </c>
      <c r="M78" s="71" t="s">
        <v>550</v>
      </c>
      <c r="P78" s="31" t="s">
        <v>452</v>
      </c>
      <c r="Q78" s="27">
        <v>1</v>
      </c>
    </row>
    <row r="79" spans="1:17" ht="16.5" customHeight="1">
      <c r="A79" s="88" t="s">
        <v>557</v>
      </c>
      <c r="B79" s="88" t="s">
        <v>558</v>
      </c>
      <c r="C79" s="39" t="s">
        <v>26</v>
      </c>
      <c r="D79" s="90">
        <v>1</v>
      </c>
      <c r="E79" s="90"/>
      <c r="F79" s="90"/>
      <c r="G79" s="90">
        <f>ROUNDDOWN(일위대가표!H86,0)</f>
        <v>3854</v>
      </c>
      <c r="H79" s="90">
        <f>ROUNDDOWN(D79*G79,1)</f>
        <v>3854</v>
      </c>
      <c r="I79" s="90"/>
      <c r="J79" s="90"/>
      <c r="K79" s="90">
        <f t="shared" si="11"/>
        <v>3854</v>
      </c>
      <c r="L79" s="90">
        <f t="shared" si="11"/>
        <v>3854</v>
      </c>
      <c r="M79" s="71" t="s">
        <v>559</v>
      </c>
      <c r="P79" s="31" t="s">
        <v>452</v>
      </c>
      <c r="Q79" s="27">
        <v>1</v>
      </c>
    </row>
    <row r="80" spans="1:17" ht="16.5" customHeight="1">
      <c r="A80" s="88" t="s">
        <v>557</v>
      </c>
      <c r="B80" s="88" t="s">
        <v>560</v>
      </c>
      <c r="C80" s="39" t="s">
        <v>26</v>
      </c>
      <c r="D80" s="90">
        <v>1</v>
      </c>
      <c r="E80" s="90"/>
      <c r="F80" s="90"/>
      <c r="G80" s="90">
        <f>ROUNDDOWN(일위대가표!H90,0)</f>
        <v>5960</v>
      </c>
      <c r="H80" s="90">
        <f>ROUNDDOWN(D80*G80,1)</f>
        <v>5960</v>
      </c>
      <c r="I80" s="90"/>
      <c r="J80" s="90"/>
      <c r="K80" s="90">
        <f t="shared" si="11"/>
        <v>5960</v>
      </c>
      <c r="L80" s="90">
        <f t="shared" si="11"/>
        <v>5960</v>
      </c>
      <c r="M80" s="71" t="s">
        <v>561</v>
      </c>
      <c r="P80" s="31" t="s">
        <v>452</v>
      </c>
      <c r="Q80" s="27">
        <v>1</v>
      </c>
    </row>
    <row r="81" spans="1:17" ht="16.5" customHeight="1">
      <c r="A81" s="88" t="s">
        <v>557</v>
      </c>
      <c r="B81" s="88" t="s">
        <v>562</v>
      </c>
      <c r="C81" s="39" t="s">
        <v>26</v>
      </c>
      <c r="D81" s="90">
        <v>1</v>
      </c>
      <c r="E81" s="90"/>
      <c r="F81" s="90"/>
      <c r="G81" s="90">
        <f>ROUNDDOWN(일위대가표!H94,0)</f>
        <v>6354</v>
      </c>
      <c r="H81" s="90">
        <f>ROUNDDOWN(D81*G81,1)</f>
        <v>6354</v>
      </c>
      <c r="I81" s="90"/>
      <c r="J81" s="90"/>
      <c r="K81" s="90">
        <f t="shared" si="11"/>
        <v>6354</v>
      </c>
      <c r="L81" s="90">
        <f t="shared" si="11"/>
        <v>6354</v>
      </c>
      <c r="M81" s="71" t="s">
        <v>563</v>
      </c>
      <c r="P81" s="31" t="s">
        <v>452</v>
      </c>
      <c r="Q81" s="27">
        <v>1</v>
      </c>
    </row>
    <row r="82" spans="1:17" ht="16.5" customHeight="1">
      <c r="A82" s="116" t="s">
        <v>419</v>
      </c>
      <c r="B82" s="65"/>
      <c r="C82" s="66"/>
      <c r="D82" s="67"/>
      <c r="E82" s="67"/>
      <c r="F82" s="123">
        <f>ROUNDDOWN(SUMIF($Q$78:$Q$81, 1,$F$78:$F$81),0)</f>
        <v>1391</v>
      </c>
      <c r="G82" s="67"/>
      <c r="H82" s="123">
        <f>ROUNDDOWN(SUMIF($Q$78:$Q$81, 1,$H$78:$H$81),0)</f>
        <v>16898</v>
      </c>
      <c r="I82" s="67"/>
      <c r="J82" s="123">
        <f>ROUNDDOWN(SUMIF($Q$78:$Q$81, 1,$J$78:$J$81),0)</f>
        <v>0</v>
      </c>
      <c r="K82" s="67"/>
      <c r="L82" s="123">
        <f>F82+H82+J82</f>
        <v>18289</v>
      </c>
      <c r="M82" s="69"/>
    </row>
    <row r="83" spans="1:17" ht="16.5" customHeight="1">
      <c r="A83" s="88" t="s">
        <v>564</v>
      </c>
      <c r="B83" s="88" t="s">
        <v>558</v>
      </c>
      <c r="C83" s="39" t="s">
        <v>26</v>
      </c>
      <c r="D83" s="90"/>
      <c r="E83" s="90"/>
      <c r="F83" s="90"/>
      <c r="G83" s="90"/>
      <c r="H83" s="90"/>
      <c r="I83" s="90"/>
      <c r="J83" s="90"/>
      <c r="K83" s="90"/>
      <c r="L83" s="90"/>
      <c r="M83" s="71" t="s">
        <v>556</v>
      </c>
    </row>
    <row r="84" spans="1:17" ht="16.5" customHeight="1">
      <c r="A84" s="88" t="s">
        <v>350</v>
      </c>
      <c r="B84" s="88" t="s">
        <v>19</v>
      </c>
      <c r="C84" s="39" t="s">
        <v>339</v>
      </c>
      <c r="D84" s="90">
        <v>2.1700000000000001E-2</v>
      </c>
      <c r="E84" s="90"/>
      <c r="F84" s="90"/>
      <c r="G84" s="90">
        <f>ROUNDDOWN(자재단가대비표!N117,0)</f>
        <v>140811</v>
      </c>
      <c r="H84" s="90">
        <f>ROUNDDOWN(D84*G84,1)</f>
        <v>3055.5</v>
      </c>
      <c r="I84" s="90"/>
      <c r="J84" s="90"/>
      <c r="K84" s="90">
        <f>E84+G84+I84</f>
        <v>140811</v>
      </c>
      <c r="L84" s="90">
        <f>F84+H84+J84</f>
        <v>3055.5</v>
      </c>
      <c r="M84" s="70"/>
      <c r="O84" s="31" t="s">
        <v>462</v>
      </c>
      <c r="P84" s="31" t="s">
        <v>452</v>
      </c>
      <c r="Q84" s="27">
        <v>1</v>
      </c>
    </row>
    <row r="85" spans="1:17" ht="16.5" customHeight="1">
      <c r="A85" s="88" t="s">
        <v>352</v>
      </c>
      <c r="B85" s="88" t="s">
        <v>19</v>
      </c>
      <c r="C85" s="39" t="s">
        <v>339</v>
      </c>
      <c r="D85" s="90">
        <v>9.1000000000000004E-3</v>
      </c>
      <c r="E85" s="90"/>
      <c r="F85" s="90"/>
      <c r="G85" s="90">
        <f>ROUNDDOWN(자재단가대비표!N119,0)</f>
        <v>87805</v>
      </c>
      <c r="H85" s="90">
        <f>ROUNDDOWN(D85*G85,1)</f>
        <v>799</v>
      </c>
      <c r="I85" s="90"/>
      <c r="J85" s="90"/>
      <c r="K85" s="90">
        <f>E85+G85+I85</f>
        <v>87805</v>
      </c>
      <c r="L85" s="90">
        <f>F85+H85+J85</f>
        <v>799</v>
      </c>
      <c r="M85" s="70"/>
      <c r="O85" s="31" t="s">
        <v>462</v>
      </c>
      <c r="P85" s="31" t="s">
        <v>452</v>
      </c>
      <c r="Q85" s="27">
        <v>1</v>
      </c>
    </row>
    <row r="86" spans="1:17" ht="16.5" customHeight="1">
      <c r="A86" s="116" t="s">
        <v>419</v>
      </c>
      <c r="B86" s="65"/>
      <c r="C86" s="66"/>
      <c r="D86" s="67"/>
      <c r="E86" s="67"/>
      <c r="F86" s="123">
        <f>ROUNDDOWN(SUMIF($Q$84:$Q$85, 1,$F$84:$F$85),0)</f>
        <v>0</v>
      </c>
      <c r="G86" s="67"/>
      <c r="H86" s="123">
        <f>ROUNDDOWN(SUMIF($Q$84:$Q$85, 1,$H$84:$H$85),0)</f>
        <v>3854</v>
      </c>
      <c r="I86" s="67"/>
      <c r="J86" s="123">
        <f>ROUNDDOWN(SUMIF($Q$84:$Q$85, 1,$J$84:$J$85),0)</f>
        <v>0</v>
      </c>
      <c r="K86" s="67"/>
      <c r="L86" s="123">
        <f>F86+H86+J86</f>
        <v>3854</v>
      </c>
      <c r="M86" s="69"/>
    </row>
    <row r="87" spans="1:17" ht="16.5" customHeight="1">
      <c r="A87" s="88" t="s">
        <v>565</v>
      </c>
      <c r="B87" s="88" t="s">
        <v>560</v>
      </c>
      <c r="C87" s="39" t="s">
        <v>26</v>
      </c>
      <c r="D87" s="90"/>
      <c r="E87" s="90"/>
      <c r="F87" s="90"/>
      <c r="G87" s="90"/>
      <c r="H87" s="90"/>
      <c r="I87" s="90"/>
      <c r="J87" s="90"/>
      <c r="K87" s="90"/>
      <c r="L87" s="90"/>
      <c r="M87" s="71" t="s">
        <v>556</v>
      </c>
    </row>
    <row r="88" spans="1:17" ht="16.5" customHeight="1">
      <c r="A88" s="88" t="s">
        <v>350</v>
      </c>
      <c r="B88" s="88" t="s">
        <v>19</v>
      </c>
      <c r="C88" s="39" t="s">
        <v>339</v>
      </c>
      <c r="D88" s="90">
        <v>3.3599999999999998E-2</v>
      </c>
      <c r="E88" s="90"/>
      <c r="F88" s="90"/>
      <c r="G88" s="90">
        <f>ROUNDDOWN(자재단가대비표!N117,0)</f>
        <v>140811</v>
      </c>
      <c r="H88" s="90">
        <f>ROUNDDOWN(D88*G88,1)</f>
        <v>4731.2</v>
      </c>
      <c r="I88" s="90"/>
      <c r="J88" s="90"/>
      <c r="K88" s="90">
        <f>E88+G88+I88</f>
        <v>140811</v>
      </c>
      <c r="L88" s="90">
        <f>F88+H88+J88</f>
        <v>4731.2</v>
      </c>
      <c r="M88" s="70"/>
      <c r="O88" s="31" t="s">
        <v>462</v>
      </c>
      <c r="P88" s="31" t="s">
        <v>452</v>
      </c>
      <c r="Q88" s="27">
        <v>1</v>
      </c>
    </row>
    <row r="89" spans="1:17" ht="16.5" customHeight="1">
      <c r="A89" s="88" t="s">
        <v>352</v>
      </c>
      <c r="B89" s="88" t="s">
        <v>19</v>
      </c>
      <c r="C89" s="39" t="s">
        <v>339</v>
      </c>
      <c r="D89" s="90">
        <v>1.4E-2</v>
      </c>
      <c r="E89" s="90"/>
      <c r="F89" s="90"/>
      <c r="G89" s="90">
        <f>ROUNDDOWN(자재단가대비표!N119,0)</f>
        <v>87805</v>
      </c>
      <c r="H89" s="90">
        <f>ROUNDDOWN(D89*G89,1)</f>
        <v>1229.2</v>
      </c>
      <c r="I89" s="90"/>
      <c r="J89" s="90"/>
      <c r="K89" s="90">
        <f>E89+G89+I89</f>
        <v>87805</v>
      </c>
      <c r="L89" s="90">
        <f>F89+H89+J89</f>
        <v>1229.2</v>
      </c>
      <c r="M89" s="70"/>
      <c r="O89" s="31" t="s">
        <v>462</v>
      </c>
      <c r="P89" s="31" t="s">
        <v>452</v>
      </c>
      <c r="Q89" s="27">
        <v>1</v>
      </c>
    </row>
    <row r="90" spans="1:17" ht="16.5" customHeight="1">
      <c r="A90" s="116" t="s">
        <v>419</v>
      </c>
      <c r="B90" s="65"/>
      <c r="C90" s="66"/>
      <c r="D90" s="67"/>
      <c r="E90" s="67"/>
      <c r="F90" s="123">
        <f>ROUNDDOWN(SUMIF($Q$88:$Q$89, 1,$F$88:$F$89),0)</f>
        <v>0</v>
      </c>
      <c r="G90" s="67"/>
      <c r="H90" s="123">
        <f>ROUNDDOWN(SUMIF($Q$88:$Q$89, 1,$H$88:$H$89),0)</f>
        <v>5960</v>
      </c>
      <c r="I90" s="67"/>
      <c r="J90" s="123">
        <f>ROUNDDOWN(SUMIF($Q$88:$Q$89, 1,$J$88:$J$89),0)</f>
        <v>0</v>
      </c>
      <c r="K90" s="67"/>
      <c r="L90" s="123">
        <f>F90+H90+J90</f>
        <v>5960</v>
      </c>
      <c r="M90" s="69"/>
    </row>
    <row r="91" spans="1:17" ht="16.5" customHeight="1">
      <c r="A91" s="88" t="s">
        <v>566</v>
      </c>
      <c r="B91" s="88" t="s">
        <v>562</v>
      </c>
      <c r="C91" s="39" t="s">
        <v>26</v>
      </c>
      <c r="D91" s="90"/>
      <c r="E91" s="90"/>
      <c r="F91" s="90"/>
      <c r="G91" s="90"/>
      <c r="H91" s="90"/>
      <c r="I91" s="90"/>
      <c r="J91" s="90"/>
      <c r="K91" s="90"/>
      <c r="L91" s="90"/>
      <c r="M91" s="71" t="s">
        <v>556</v>
      </c>
    </row>
    <row r="92" spans="1:17" ht="16.5" customHeight="1">
      <c r="A92" s="88" t="s">
        <v>350</v>
      </c>
      <c r="B92" s="88" t="s">
        <v>19</v>
      </c>
      <c r="C92" s="39" t="s">
        <v>339</v>
      </c>
      <c r="D92" s="90">
        <v>3.6400000000000002E-2</v>
      </c>
      <c r="E92" s="90"/>
      <c r="F92" s="90"/>
      <c r="G92" s="90">
        <f>ROUNDDOWN(자재단가대비표!N117,0)</f>
        <v>140811</v>
      </c>
      <c r="H92" s="90">
        <f>ROUNDDOWN(D92*G92,1)</f>
        <v>5125.5</v>
      </c>
      <c r="I92" s="90"/>
      <c r="J92" s="90"/>
      <c r="K92" s="90">
        <f>E92+G92+I92</f>
        <v>140811</v>
      </c>
      <c r="L92" s="90">
        <f>F92+H92+J92</f>
        <v>5125.5</v>
      </c>
      <c r="M92" s="70"/>
      <c r="O92" s="31" t="s">
        <v>462</v>
      </c>
      <c r="P92" s="31" t="s">
        <v>452</v>
      </c>
      <c r="Q92" s="27">
        <v>1</v>
      </c>
    </row>
    <row r="93" spans="1:17" ht="16.5" customHeight="1">
      <c r="A93" s="88" t="s">
        <v>352</v>
      </c>
      <c r="B93" s="88" t="s">
        <v>19</v>
      </c>
      <c r="C93" s="39" t="s">
        <v>339</v>
      </c>
      <c r="D93" s="90">
        <v>1.4E-2</v>
      </c>
      <c r="E93" s="90"/>
      <c r="F93" s="90"/>
      <c r="G93" s="90">
        <f>ROUNDDOWN(자재단가대비표!N119,0)</f>
        <v>87805</v>
      </c>
      <c r="H93" s="90">
        <f>ROUNDDOWN(D93*G93,1)</f>
        <v>1229.2</v>
      </c>
      <c r="I93" s="90"/>
      <c r="J93" s="90"/>
      <c r="K93" s="90">
        <f>E93+G93+I93</f>
        <v>87805</v>
      </c>
      <c r="L93" s="90">
        <f>F93+H93+J93</f>
        <v>1229.2</v>
      </c>
      <c r="M93" s="70"/>
      <c r="O93" s="31" t="s">
        <v>462</v>
      </c>
      <c r="P93" s="31" t="s">
        <v>452</v>
      </c>
      <c r="Q93" s="27">
        <v>1</v>
      </c>
    </row>
    <row r="94" spans="1:17" ht="16.5" customHeight="1">
      <c r="A94" s="116" t="s">
        <v>419</v>
      </c>
      <c r="B94" s="65"/>
      <c r="C94" s="66"/>
      <c r="D94" s="67"/>
      <c r="E94" s="67"/>
      <c r="F94" s="123">
        <f>ROUNDDOWN(SUMIF($Q$92:$Q$93, 1,$F$92:$F$93),0)</f>
        <v>0</v>
      </c>
      <c r="G94" s="67"/>
      <c r="H94" s="123">
        <f>ROUNDDOWN(SUMIF($Q$92:$Q$93, 1,$H$92:$H$93),0)</f>
        <v>6354</v>
      </c>
      <c r="I94" s="67"/>
      <c r="J94" s="123">
        <f>ROUNDDOWN(SUMIF($Q$92:$Q$93, 1,$J$92:$J$93),0)</f>
        <v>0</v>
      </c>
      <c r="K94" s="67"/>
      <c r="L94" s="123">
        <f>F94+H94+J94</f>
        <v>6354</v>
      </c>
      <c r="M94" s="69"/>
    </row>
    <row r="95" spans="1:17" ht="16.5" customHeight="1">
      <c r="A95" s="88" t="s">
        <v>567</v>
      </c>
      <c r="B95" s="88" t="s">
        <v>568</v>
      </c>
      <c r="C95" s="39" t="s">
        <v>34</v>
      </c>
      <c r="D95" s="90"/>
      <c r="E95" s="90"/>
      <c r="F95" s="90"/>
      <c r="G95" s="90"/>
      <c r="H95" s="90"/>
      <c r="I95" s="90"/>
      <c r="J95" s="90"/>
      <c r="K95" s="90"/>
      <c r="L95" s="90"/>
      <c r="M95" s="71" t="s">
        <v>569</v>
      </c>
    </row>
    <row r="96" spans="1:17" ht="16.5" customHeight="1">
      <c r="A96" s="88" t="s">
        <v>548</v>
      </c>
      <c r="B96" s="88" t="s">
        <v>570</v>
      </c>
      <c r="C96" s="39" t="s">
        <v>107</v>
      </c>
      <c r="D96" s="90">
        <v>0.01</v>
      </c>
      <c r="E96" s="90">
        <f>ROUNDDOWN(일위대가표!F104,0)</f>
        <v>64570</v>
      </c>
      <c r="F96" s="90">
        <f>ROUNDDOWN(D96*E96,1)</f>
        <v>645.70000000000005</v>
      </c>
      <c r="G96" s="90">
        <f>ROUNDDOWN(일위대가표!H104,0)</f>
        <v>26367</v>
      </c>
      <c r="H96" s="90">
        <f>ROUNDDOWN(D96*G96,1)</f>
        <v>263.60000000000002</v>
      </c>
      <c r="I96" s="90"/>
      <c r="J96" s="90"/>
      <c r="K96" s="90">
        <f t="shared" ref="K96:L98" si="12">E96+G96+I96</f>
        <v>90937</v>
      </c>
      <c r="L96" s="90">
        <f t="shared" si="12"/>
        <v>909.30000000000007</v>
      </c>
      <c r="M96" s="71" t="s">
        <v>571</v>
      </c>
      <c r="P96" s="31" t="s">
        <v>452</v>
      </c>
      <c r="Q96" s="27">
        <v>1</v>
      </c>
    </row>
    <row r="97" spans="1:17" ht="16.5" customHeight="1">
      <c r="A97" s="88" t="s">
        <v>350</v>
      </c>
      <c r="B97" s="88" t="s">
        <v>19</v>
      </c>
      <c r="C97" s="39" t="s">
        <v>339</v>
      </c>
      <c r="D97" s="90">
        <v>8.0999999999999996E-3</v>
      </c>
      <c r="E97" s="90"/>
      <c r="F97" s="90"/>
      <c r="G97" s="90">
        <f>ROUNDDOWN(자재단가대비표!N117,0)</f>
        <v>140811</v>
      </c>
      <c r="H97" s="90">
        <f>ROUNDDOWN(D97*G97,1)</f>
        <v>1140.5</v>
      </c>
      <c r="I97" s="90"/>
      <c r="J97" s="90"/>
      <c r="K97" s="90">
        <f t="shared" si="12"/>
        <v>140811</v>
      </c>
      <c r="L97" s="90">
        <f t="shared" si="12"/>
        <v>1140.5</v>
      </c>
      <c r="M97" s="70"/>
      <c r="O97" s="31" t="s">
        <v>462</v>
      </c>
      <c r="P97" s="31" t="s">
        <v>452</v>
      </c>
      <c r="Q97" s="27">
        <v>1</v>
      </c>
    </row>
    <row r="98" spans="1:17" ht="16.5" customHeight="1">
      <c r="A98" s="88" t="s">
        <v>352</v>
      </c>
      <c r="B98" s="88" t="s">
        <v>19</v>
      </c>
      <c r="C98" s="39" t="s">
        <v>339</v>
      </c>
      <c r="D98" s="90">
        <v>2.0999999999999999E-3</v>
      </c>
      <c r="E98" s="90"/>
      <c r="F98" s="90"/>
      <c r="G98" s="90">
        <f>ROUNDDOWN(자재단가대비표!N119,0)</f>
        <v>87805</v>
      </c>
      <c r="H98" s="90">
        <f>ROUNDDOWN(D98*G98,1)</f>
        <v>184.3</v>
      </c>
      <c r="I98" s="90"/>
      <c r="J98" s="90"/>
      <c r="K98" s="90">
        <f t="shared" si="12"/>
        <v>87805</v>
      </c>
      <c r="L98" s="90">
        <f t="shared" si="12"/>
        <v>184.3</v>
      </c>
      <c r="M98" s="70"/>
      <c r="O98" s="31" t="s">
        <v>462</v>
      </c>
      <c r="P98" s="31" t="s">
        <v>452</v>
      </c>
      <c r="Q98" s="27">
        <v>1</v>
      </c>
    </row>
    <row r="99" spans="1:17" ht="16.5" customHeight="1">
      <c r="A99" s="116" t="s">
        <v>419</v>
      </c>
      <c r="B99" s="65"/>
      <c r="C99" s="66"/>
      <c r="D99" s="67"/>
      <c r="E99" s="67"/>
      <c r="F99" s="123">
        <f>ROUNDDOWN(SUMIF($Q$96:$Q$98, 1,$F$96:$F$98),0)</f>
        <v>645</v>
      </c>
      <c r="G99" s="67"/>
      <c r="H99" s="123">
        <f>ROUNDDOWN(SUMIF($Q$96:$Q$98, 1,$H$96:$H$98),0)</f>
        <v>1588</v>
      </c>
      <c r="I99" s="67"/>
      <c r="J99" s="123">
        <f>ROUNDDOWN(SUMIF($Q$96:$Q$98, 1,$J$96:$J$98),0)</f>
        <v>0</v>
      </c>
      <c r="K99" s="67"/>
      <c r="L99" s="123">
        <f>F99+H99+J99</f>
        <v>2233</v>
      </c>
      <c r="M99" s="69"/>
    </row>
    <row r="100" spans="1:17" ht="16.5" customHeight="1">
      <c r="A100" s="88" t="s">
        <v>572</v>
      </c>
      <c r="B100" s="88" t="s">
        <v>570</v>
      </c>
      <c r="C100" s="39" t="s">
        <v>107</v>
      </c>
      <c r="D100" s="90"/>
      <c r="E100" s="90"/>
      <c r="F100" s="90"/>
      <c r="G100" s="90"/>
      <c r="H100" s="90"/>
      <c r="I100" s="90"/>
      <c r="J100" s="90"/>
      <c r="K100" s="90"/>
      <c r="L100" s="90"/>
      <c r="M100" s="71" t="s">
        <v>530</v>
      </c>
    </row>
    <row r="101" spans="1:17" ht="16.5" customHeight="1">
      <c r="A101" s="88" t="s">
        <v>215</v>
      </c>
      <c r="B101" s="88" t="s">
        <v>216</v>
      </c>
      <c r="C101" s="39" t="s">
        <v>58</v>
      </c>
      <c r="D101" s="90">
        <v>385</v>
      </c>
      <c r="E101" s="90">
        <f>ROUNDDOWN(자재단가대비표!N64,0)</f>
        <v>102</v>
      </c>
      <c r="F101" s="90">
        <f>ROUNDDOWN(D101*E101,1)</f>
        <v>39270</v>
      </c>
      <c r="G101" s="90"/>
      <c r="H101" s="90"/>
      <c r="I101" s="90"/>
      <c r="J101" s="90"/>
      <c r="K101" s="90">
        <f t="shared" ref="K101:L103" si="13">E101+G101+I101</f>
        <v>102</v>
      </c>
      <c r="L101" s="90">
        <f t="shared" si="13"/>
        <v>39270</v>
      </c>
      <c r="M101" s="70"/>
      <c r="O101" s="31" t="s">
        <v>457</v>
      </c>
      <c r="P101" s="31" t="s">
        <v>452</v>
      </c>
      <c r="Q101" s="27">
        <v>1</v>
      </c>
    </row>
    <row r="102" spans="1:17" ht="16.5" customHeight="1">
      <c r="A102" s="88" t="s">
        <v>105</v>
      </c>
      <c r="B102" s="88" t="s">
        <v>106</v>
      </c>
      <c r="C102" s="39" t="s">
        <v>107</v>
      </c>
      <c r="D102" s="90">
        <v>1.1000000000000001</v>
      </c>
      <c r="E102" s="90">
        <f>ROUNDDOWN(자재단가대비표!N29,0)</f>
        <v>23000</v>
      </c>
      <c r="F102" s="90">
        <f>ROUNDDOWN(D102*E102,1)</f>
        <v>25300</v>
      </c>
      <c r="G102" s="90"/>
      <c r="H102" s="90"/>
      <c r="I102" s="90"/>
      <c r="J102" s="90"/>
      <c r="K102" s="90">
        <f t="shared" si="13"/>
        <v>23000</v>
      </c>
      <c r="L102" s="90">
        <f t="shared" si="13"/>
        <v>25300</v>
      </c>
      <c r="M102" s="70"/>
      <c r="O102" s="31" t="s">
        <v>457</v>
      </c>
      <c r="P102" s="31" t="s">
        <v>452</v>
      </c>
      <c r="Q102" s="27">
        <v>1</v>
      </c>
    </row>
    <row r="103" spans="1:17" ht="16.5" customHeight="1">
      <c r="A103" s="88" t="s">
        <v>352</v>
      </c>
      <c r="B103" s="88" t="s">
        <v>19</v>
      </c>
      <c r="C103" s="39" t="s">
        <v>339</v>
      </c>
      <c r="D103" s="90">
        <v>0.30030000000000001</v>
      </c>
      <c r="E103" s="90"/>
      <c r="F103" s="90"/>
      <c r="G103" s="90">
        <f>ROUNDDOWN(자재단가대비표!N119,0)</f>
        <v>87805</v>
      </c>
      <c r="H103" s="90">
        <f>ROUNDDOWN(D103*G103,1)</f>
        <v>26367.8</v>
      </c>
      <c r="I103" s="90"/>
      <c r="J103" s="90"/>
      <c r="K103" s="90">
        <f t="shared" si="13"/>
        <v>87805</v>
      </c>
      <c r="L103" s="90">
        <f t="shared" si="13"/>
        <v>26367.8</v>
      </c>
      <c r="M103" s="70"/>
      <c r="O103" s="31" t="s">
        <v>462</v>
      </c>
      <c r="P103" s="31" t="s">
        <v>452</v>
      </c>
      <c r="Q103" s="27">
        <v>1</v>
      </c>
    </row>
    <row r="104" spans="1:17" ht="16.5" customHeight="1">
      <c r="A104" s="116" t="s">
        <v>419</v>
      </c>
      <c r="B104" s="65"/>
      <c r="C104" s="66"/>
      <c r="D104" s="67"/>
      <c r="E104" s="67"/>
      <c r="F104" s="123">
        <f>ROUNDDOWN(SUMIF($Q$101:$Q$103, 1,$F$101:$F$103),0)</f>
        <v>64570</v>
      </c>
      <c r="G104" s="67"/>
      <c r="H104" s="123">
        <f>ROUNDDOWN(SUMIF($Q$101:$Q$103, 1,$H$101:$H$103),0)</f>
        <v>26367</v>
      </c>
      <c r="I104" s="67"/>
      <c r="J104" s="123">
        <f>ROUNDDOWN(SUMIF($Q$101:$Q$103, 1,$J$101:$J$103),0)</f>
        <v>0</v>
      </c>
      <c r="K104" s="67"/>
      <c r="L104" s="123">
        <f>F104+H104+J104</f>
        <v>90937</v>
      </c>
      <c r="M104" s="69"/>
    </row>
    <row r="105" spans="1:17" ht="16.5" customHeight="1">
      <c r="A105" s="88" t="s">
        <v>573</v>
      </c>
      <c r="B105" s="88" t="s">
        <v>574</v>
      </c>
      <c r="C105" s="39" t="s">
        <v>26</v>
      </c>
      <c r="D105" s="90"/>
      <c r="E105" s="90"/>
      <c r="F105" s="90"/>
      <c r="G105" s="90"/>
      <c r="H105" s="90"/>
      <c r="I105" s="90"/>
      <c r="J105" s="90"/>
      <c r="K105" s="90"/>
      <c r="L105" s="90"/>
      <c r="M105" s="71" t="s">
        <v>575</v>
      </c>
    </row>
    <row r="106" spans="1:17" ht="16.5" customHeight="1">
      <c r="A106" s="88" t="s">
        <v>526</v>
      </c>
      <c r="B106" s="88" t="s">
        <v>576</v>
      </c>
      <c r="C106" s="39" t="s">
        <v>107</v>
      </c>
      <c r="D106" s="90">
        <v>5.0000000000000001E-3</v>
      </c>
      <c r="E106" s="90">
        <f>ROUNDDOWN(일위대가표!F116,0)</f>
        <v>81120</v>
      </c>
      <c r="F106" s="90">
        <f>ROUNDDOWN(D106*E106,1)</f>
        <v>405.6</v>
      </c>
      <c r="G106" s="90"/>
      <c r="H106" s="90"/>
      <c r="I106" s="90"/>
      <c r="J106" s="90"/>
      <c r="K106" s="90">
        <f t="shared" ref="K106:L111" si="14">E106+G106+I106</f>
        <v>81120</v>
      </c>
      <c r="L106" s="90">
        <f t="shared" si="14"/>
        <v>405.6</v>
      </c>
      <c r="M106" s="71" t="s">
        <v>577</v>
      </c>
      <c r="P106" s="31" t="s">
        <v>452</v>
      </c>
      <c r="Q106" s="27">
        <v>1</v>
      </c>
    </row>
    <row r="107" spans="1:17" ht="16.5" customHeight="1">
      <c r="A107" s="88" t="s">
        <v>526</v>
      </c>
      <c r="B107" s="88" t="s">
        <v>578</v>
      </c>
      <c r="C107" s="39" t="s">
        <v>107</v>
      </c>
      <c r="D107" s="90">
        <v>1E-3</v>
      </c>
      <c r="E107" s="90">
        <f>ROUNDDOWN(일위대가표!F120,0)</f>
        <v>120846</v>
      </c>
      <c r="F107" s="90">
        <f>ROUNDDOWN(D107*E107,1)</f>
        <v>120.8</v>
      </c>
      <c r="G107" s="90"/>
      <c r="H107" s="90"/>
      <c r="I107" s="90"/>
      <c r="J107" s="90"/>
      <c r="K107" s="90">
        <f t="shared" si="14"/>
        <v>120846</v>
      </c>
      <c r="L107" s="90">
        <f t="shared" si="14"/>
        <v>120.8</v>
      </c>
      <c r="M107" s="71" t="s">
        <v>579</v>
      </c>
      <c r="P107" s="31" t="s">
        <v>452</v>
      </c>
      <c r="Q107" s="27">
        <v>1</v>
      </c>
    </row>
    <row r="108" spans="1:17" ht="16.5" customHeight="1">
      <c r="A108" s="88" t="s">
        <v>362</v>
      </c>
      <c r="B108" s="88" t="s">
        <v>19</v>
      </c>
      <c r="C108" s="39" t="s">
        <v>339</v>
      </c>
      <c r="D108" s="90">
        <v>8.5400000000000004E-2</v>
      </c>
      <c r="E108" s="90"/>
      <c r="F108" s="90"/>
      <c r="G108" s="90">
        <f>ROUNDDOWN(자재단가대비표!N128,0)</f>
        <v>133837</v>
      </c>
      <c r="H108" s="90">
        <f>ROUNDDOWN(D108*G108,1)</f>
        <v>11429.6</v>
      </c>
      <c r="I108" s="90"/>
      <c r="J108" s="90"/>
      <c r="K108" s="90">
        <f t="shared" si="14"/>
        <v>133837</v>
      </c>
      <c r="L108" s="90">
        <f t="shared" si="14"/>
        <v>11429.6</v>
      </c>
      <c r="M108" s="70"/>
      <c r="O108" s="31" t="s">
        <v>580</v>
      </c>
      <c r="P108" s="31" t="s">
        <v>452</v>
      </c>
      <c r="Q108" s="27">
        <v>1</v>
      </c>
    </row>
    <row r="109" spans="1:17" ht="16.5" customHeight="1">
      <c r="A109" s="88" t="s">
        <v>352</v>
      </c>
      <c r="B109" s="88" t="s">
        <v>19</v>
      </c>
      <c r="C109" s="39" t="s">
        <v>339</v>
      </c>
      <c r="D109" s="90">
        <v>3.0799999999999998E-2</v>
      </c>
      <c r="E109" s="90"/>
      <c r="F109" s="90"/>
      <c r="G109" s="90">
        <f>ROUNDDOWN(자재단가대비표!N119,0)</f>
        <v>87805</v>
      </c>
      <c r="H109" s="90">
        <f>ROUNDDOWN(D109*G109,1)</f>
        <v>2704.3</v>
      </c>
      <c r="I109" s="90"/>
      <c r="J109" s="90"/>
      <c r="K109" s="90">
        <f t="shared" si="14"/>
        <v>87805</v>
      </c>
      <c r="L109" s="90">
        <f t="shared" si="14"/>
        <v>2704.3</v>
      </c>
      <c r="M109" s="70"/>
      <c r="O109" s="31" t="s">
        <v>580</v>
      </c>
      <c r="P109" s="31" t="s">
        <v>452</v>
      </c>
      <c r="Q109" s="27">
        <v>1</v>
      </c>
    </row>
    <row r="110" spans="1:17" ht="16.5" customHeight="1">
      <c r="A110" s="88" t="s">
        <v>538</v>
      </c>
      <c r="B110" s="34" t="str">
        <f>"노무비의 "&amp;N110*100&amp;"%"</f>
        <v>노무비의 3%</v>
      </c>
      <c r="C110" s="39" t="s">
        <v>459</v>
      </c>
      <c r="D110" s="94" t="s">
        <v>460</v>
      </c>
      <c r="E110" s="90">
        <f>SUMIF($O$105:O111, "04", $H$105:H111)</f>
        <v>14133.900000000001</v>
      </c>
      <c r="F110" s="90">
        <f>ROUNDDOWN(E110*N110,1)</f>
        <v>424</v>
      </c>
      <c r="G110" s="90"/>
      <c r="H110" s="90"/>
      <c r="I110" s="90"/>
      <c r="J110" s="90"/>
      <c r="K110" s="90">
        <f t="shared" si="14"/>
        <v>14133.900000000001</v>
      </c>
      <c r="L110" s="90">
        <f t="shared" si="14"/>
        <v>424</v>
      </c>
      <c r="M110" s="71" t="s">
        <v>539</v>
      </c>
      <c r="N110" s="32">
        <v>0.03</v>
      </c>
      <c r="P110" s="31" t="s">
        <v>452</v>
      </c>
      <c r="Q110" s="27">
        <v>1</v>
      </c>
    </row>
    <row r="111" spans="1:17" ht="16.5" customHeight="1">
      <c r="A111" s="88" t="s">
        <v>358</v>
      </c>
      <c r="B111" s="88" t="s">
        <v>19</v>
      </c>
      <c r="C111" s="39" t="s">
        <v>339</v>
      </c>
      <c r="D111" s="90">
        <v>1.12E-2</v>
      </c>
      <c r="E111" s="90"/>
      <c r="F111" s="90"/>
      <c r="G111" s="90">
        <f>ROUNDDOWN(자재단가대비표!N124,0)</f>
        <v>104254</v>
      </c>
      <c r="H111" s="90">
        <f>ROUNDDOWN(D111*G111,1)</f>
        <v>1167.5999999999999</v>
      </c>
      <c r="I111" s="90"/>
      <c r="J111" s="90"/>
      <c r="K111" s="90">
        <f t="shared" si="14"/>
        <v>104254</v>
      </c>
      <c r="L111" s="90">
        <f t="shared" si="14"/>
        <v>1167.5999999999999</v>
      </c>
      <c r="M111" s="70"/>
      <c r="O111" s="31" t="s">
        <v>462</v>
      </c>
      <c r="P111" s="31" t="s">
        <v>452</v>
      </c>
      <c r="Q111" s="27">
        <v>1</v>
      </c>
    </row>
    <row r="112" spans="1:17" ht="16.5" customHeight="1">
      <c r="A112" s="116" t="s">
        <v>419</v>
      </c>
      <c r="B112" s="65"/>
      <c r="C112" s="66"/>
      <c r="D112" s="67"/>
      <c r="E112" s="67"/>
      <c r="F112" s="123">
        <f>ROUNDDOWN(SUMIF($Q$106:$Q$111, 1,$F$106:$F$111),0)</f>
        <v>950</v>
      </c>
      <c r="G112" s="67"/>
      <c r="H112" s="123">
        <f>ROUNDDOWN(SUMIF($Q$106:$Q$111, 1,$H$106:$H$111),0)</f>
        <v>15301</v>
      </c>
      <c r="I112" s="67"/>
      <c r="J112" s="123">
        <f>ROUNDDOWN(SUMIF($Q$106:$Q$111, 1,$J$106:$J$111),0)</f>
        <v>0</v>
      </c>
      <c r="K112" s="67"/>
      <c r="L112" s="123">
        <f>F112+H112+J112</f>
        <v>16251</v>
      </c>
      <c r="M112" s="69"/>
    </row>
    <row r="113" spans="1:17" ht="16.5" customHeight="1">
      <c r="A113" s="88" t="s">
        <v>581</v>
      </c>
      <c r="B113" s="88" t="s">
        <v>576</v>
      </c>
      <c r="C113" s="39" t="s">
        <v>107</v>
      </c>
      <c r="D113" s="90"/>
      <c r="E113" s="90"/>
      <c r="F113" s="90"/>
      <c r="G113" s="90"/>
      <c r="H113" s="90"/>
      <c r="I113" s="90"/>
      <c r="J113" s="90"/>
      <c r="K113" s="90"/>
      <c r="L113" s="90"/>
      <c r="M113" s="71" t="s">
        <v>530</v>
      </c>
    </row>
    <row r="114" spans="1:17" ht="16.5" customHeight="1">
      <c r="A114" s="88" t="s">
        <v>215</v>
      </c>
      <c r="B114" s="88" t="s">
        <v>216</v>
      </c>
      <c r="C114" s="39" t="s">
        <v>58</v>
      </c>
      <c r="D114" s="90">
        <v>680</v>
      </c>
      <c r="E114" s="90">
        <f>ROUNDDOWN(자재단가대비표!N64,0)</f>
        <v>102</v>
      </c>
      <c r="F114" s="90">
        <f>ROUNDDOWN(D114*E114,1)</f>
        <v>69360</v>
      </c>
      <c r="G114" s="90"/>
      <c r="H114" s="90"/>
      <c r="I114" s="90"/>
      <c r="J114" s="90"/>
      <c r="K114" s="90">
        <f>E114+G114+I114</f>
        <v>102</v>
      </c>
      <c r="L114" s="90">
        <f>F114+H114+J114</f>
        <v>69360</v>
      </c>
      <c r="M114" s="70"/>
      <c r="O114" s="31" t="s">
        <v>457</v>
      </c>
      <c r="P114" s="31" t="s">
        <v>452</v>
      </c>
      <c r="Q114" s="27">
        <v>1</v>
      </c>
    </row>
    <row r="115" spans="1:17" ht="16.5" customHeight="1">
      <c r="A115" s="88" t="s">
        <v>105</v>
      </c>
      <c r="B115" s="88" t="s">
        <v>111</v>
      </c>
      <c r="C115" s="39" t="s">
        <v>107</v>
      </c>
      <c r="D115" s="90">
        <v>0.98</v>
      </c>
      <c r="E115" s="90">
        <f>ROUNDDOWN(자재단가대비표!N30,0)</f>
        <v>12000</v>
      </c>
      <c r="F115" s="90">
        <f>ROUNDDOWN(D115*E115,1)</f>
        <v>11760</v>
      </c>
      <c r="G115" s="90"/>
      <c r="H115" s="90"/>
      <c r="I115" s="90"/>
      <c r="J115" s="90"/>
      <c r="K115" s="90">
        <f>E115+G115+I115</f>
        <v>12000</v>
      </c>
      <c r="L115" s="90">
        <f>F115+H115+J115</f>
        <v>11760</v>
      </c>
      <c r="M115" s="71" t="s">
        <v>114</v>
      </c>
      <c r="O115" s="31" t="s">
        <v>457</v>
      </c>
      <c r="P115" s="31" t="s">
        <v>452</v>
      </c>
      <c r="Q115" s="27">
        <v>1</v>
      </c>
    </row>
    <row r="116" spans="1:17" ht="16.5" customHeight="1">
      <c r="A116" s="116" t="s">
        <v>419</v>
      </c>
      <c r="B116" s="65"/>
      <c r="C116" s="66"/>
      <c r="D116" s="67"/>
      <c r="E116" s="67"/>
      <c r="F116" s="123">
        <f>ROUNDDOWN(SUMIF($Q$114:$Q$115, 1,$F$114:$F$115),0)</f>
        <v>81120</v>
      </c>
      <c r="G116" s="67"/>
      <c r="H116" s="123">
        <f>ROUNDDOWN(SUMIF($Q$114:$Q$115, 1,$H$114:$H$115),0)</f>
        <v>0</v>
      </c>
      <c r="I116" s="67"/>
      <c r="J116" s="123">
        <f>ROUNDDOWN(SUMIF($Q$114:$Q$115, 1,$J$114:$J$115),0)</f>
        <v>0</v>
      </c>
      <c r="K116" s="67"/>
      <c r="L116" s="123">
        <f>F116+H116+J116</f>
        <v>81120</v>
      </c>
      <c r="M116" s="69"/>
    </row>
    <row r="117" spans="1:17" ht="16.5" customHeight="1">
      <c r="A117" s="88" t="s">
        <v>582</v>
      </c>
      <c r="B117" s="88" t="s">
        <v>578</v>
      </c>
      <c r="C117" s="39" t="s">
        <v>107</v>
      </c>
      <c r="D117" s="90"/>
      <c r="E117" s="90"/>
      <c r="F117" s="90"/>
      <c r="G117" s="90"/>
      <c r="H117" s="90"/>
      <c r="I117" s="90"/>
      <c r="J117" s="90"/>
      <c r="K117" s="90"/>
      <c r="L117" s="90"/>
      <c r="M117" s="71" t="s">
        <v>530</v>
      </c>
    </row>
    <row r="118" spans="1:17" ht="16.5" customHeight="1">
      <c r="A118" s="88" t="s">
        <v>215</v>
      </c>
      <c r="B118" s="88" t="s">
        <v>216</v>
      </c>
      <c r="C118" s="39" t="s">
        <v>58</v>
      </c>
      <c r="D118" s="90">
        <v>1093</v>
      </c>
      <c r="E118" s="90">
        <f>ROUNDDOWN(자재단가대비표!N64,0)</f>
        <v>102</v>
      </c>
      <c r="F118" s="90">
        <f>ROUNDDOWN(D118*E118,1)</f>
        <v>111486</v>
      </c>
      <c r="G118" s="90"/>
      <c r="H118" s="90"/>
      <c r="I118" s="90"/>
      <c r="J118" s="90"/>
      <c r="K118" s="90">
        <f>E118+G118+I118</f>
        <v>102</v>
      </c>
      <c r="L118" s="90">
        <f>F118+H118+J118</f>
        <v>111486</v>
      </c>
      <c r="M118" s="70"/>
      <c r="O118" s="31" t="s">
        <v>457</v>
      </c>
      <c r="P118" s="31" t="s">
        <v>452</v>
      </c>
      <c r="Q118" s="27">
        <v>1</v>
      </c>
    </row>
    <row r="119" spans="1:17" ht="16.5" customHeight="1">
      <c r="A119" s="88" t="s">
        <v>105</v>
      </c>
      <c r="B119" s="88" t="s">
        <v>111</v>
      </c>
      <c r="C119" s="39" t="s">
        <v>107</v>
      </c>
      <c r="D119" s="90">
        <v>0.78</v>
      </c>
      <c r="E119" s="90">
        <f>ROUNDDOWN(자재단가대비표!N30,0)</f>
        <v>12000</v>
      </c>
      <c r="F119" s="90">
        <f>ROUNDDOWN(D119*E119,1)</f>
        <v>9360</v>
      </c>
      <c r="G119" s="90"/>
      <c r="H119" s="90"/>
      <c r="I119" s="90"/>
      <c r="J119" s="90"/>
      <c r="K119" s="90">
        <f>E119+G119+I119</f>
        <v>12000</v>
      </c>
      <c r="L119" s="90">
        <f>F119+H119+J119</f>
        <v>9360</v>
      </c>
      <c r="M119" s="71" t="s">
        <v>114</v>
      </c>
      <c r="O119" s="31" t="s">
        <v>457</v>
      </c>
      <c r="P119" s="31" t="s">
        <v>452</v>
      </c>
      <c r="Q119" s="27">
        <v>1</v>
      </c>
    </row>
    <row r="120" spans="1:17" ht="16.5" customHeight="1">
      <c r="A120" s="116" t="s">
        <v>419</v>
      </c>
      <c r="B120" s="65"/>
      <c r="C120" s="66"/>
      <c r="D120" s="67"/>
      <c r="E120" s="67"/>
      <c r="F120" s="123">
        <f>ROUNDDOWN(SUMIF($Q$118:$Q$119, 1,$F$118:$F$119),0)</f>
        <v>120846</v>
      </c>
      <c r="G120" s="67"/>
      <c r="H120" s="123">
        <f>ROUNDDOWN(SUMIF($Q$118:$Q$119, 1,$H$118:$H$119),0)</f>
        <v>0</v>
      </c>
      <c r="I120" s="67"/>
      <c r="J120" s="123">
        <f>ROUNDDOWN(SUMIF($Q$118:$Q$119, 1,$J$118:$J$119),0)</f>
        <v>0</v>
      </c>
      <c r="K120" s="67"/>
      <c r="L120" s="123">
        <f>F120+H120+J120</f>
        <v>120846</v>
      </c>
      <c r="M120" s="69"/>
    </row>
    <row r="121" spans="1:17" ht="16.5" customHeight="1">
      <c r="A121" s="88" t="s">
        <v>583</v>
      </c>
      <c r="B121" s="88" t="s">
        <v>584</v>
      </c>
      <c r="C121" s="39" t="s">
        <v>26</v>
      </c>
      <c r="D121" s="90"/>
      <c r="E121" s="90"/>
      <c r="F121" s="90"/>
      <c r="G121" s="90"/>
      <c r="H121" s="90"/>
      <c r="I121" s="90"/>
      <c r="J121" s="90"/>
      <c r="K121" s="90"/>
      <c r="L121" s="90"/>
      <c r="M121" s="71" t="s">
        <v>575</v>
      </c>
    </row>
    <row r="122" spans="1:17" ht="16.5" customHeight="1">
      <c r="A122" s="88" t="s">
        <v>526</v>
      </c>
      <c r="B122" s="88" t="s">
        <v>576</v>
      </c>
      <c r="C122" s="39" t="s">
        <v>107</v>
      </c>
      <c r="D122" s="90">
        <v>6.0000000000000001E-3</v>
      </c>
      <c r="E122" s="90">
        <f>ROUNDDOWN(일위대가표!F116,0)</f>
        <v>81120</v>
      </c>
      <c r="F122" s="90">
        <f>ROUNDDOWN(D122*E122,1)</f>
        <v>486.7</v>
      </c>
      <c r="G122" s="90"/>
      <c r="H122" s="90"/>
      <c r="I122" s="90"/>
      <c r="J122" s="90"/>
      <c r="K122" s="90">
        <f t="shared" ref="K122:L127" si="15">E122+G122+I122</f>
        <v>81120</v>
      </c>
      <c r="L122" s="90">
        <f t="shared" si="15"/>
        <v>486.7</v>
      </c>
      <c r="M122" s="71" t="s">
        <v>577</v>
      </c>
      <c r="P122" s="31" t="s">
        <v>452</v>
      </c>
      <c r="Q122" s="27">
        <v>1</v>
      </c>
    </row>
    <row r="123" spans="1:17" ht="16.5" customHeight="1">
      <c r="A123" s="88" t="s">
        <v>526</v>
      </c>
      <c r="B123" s="88" t="s">
        <v>578</v>
      </c>
      <c r="C123" s="39" t="s">
        <v>107</v>
      </c>
      <c r="D123" s="90">
        <v>1E-3</v>
      </c>
      <c r="E123" s="90">
        <f>ROUNDDOWN(일위대가표!F120,0)</f>
        <v>120846</v>
      </c>
      <c r="F123" s="90">
        <f>ROUNDDOWN(D123*E123,1)</f>
        <v>120.8</v>
      </c>
      <c r="G123" s="90"/>
      <c r="H123" s="90"/>
      <c r="I123" s="90"/>
      <c r="J123" s="90"/>
      <c r="K123" s="90">
        <f t="shared" si="15"/>
        <v>120846</v>
      </c>
      <c r="L123" s="90">
        <f t="shared" si="15"/>
        <v>120.8</v>
      </c>
      <c r="M123" s="71" t="s">
        <v>579</v>
      </c>
      <c r="P123" s="31" t="s">
        <v>452</v>
      </c>
      <c r="Q123" s="27">
        <v>1</v>
      </c>
    </row>
    <row r="124" spans="1:17" ht="16.5" customHeight="1">
      <c r="A124" s="88" t="s">
        <v>362</v>
      </c>
      <c r="B124" s="88" t="s">
        <v>19</v>
      </c>
      <c r="C124" s="39" t="s">
        <v>339</v>
      </c>
      <c r="D124" s="90">
        <v>9.4500000000000001E-2</v>
      </c>
      <c r="E124" s="90"/>
      <c r="F124" s="90"/>
      <c r="G124" s="90">
        <f>ROUNDDOWN(자재단가대비표!N128,0)</f>
        <v>133837</v>
      </c>
      <c r="H124" s="90">
        <f>ROUNDDOWN(D124*G124,1)</f>
        <v>12647.5</v>
      </c>
      <c r="I124" s="90"/>
      <c r="J124" s="90"/>
      <c r="K124" s="90">
        <f t="shared" si="15"/>
        <v>133837</v>
      </c>
      <c r="L124" s="90">
        <f t="shared" si="15"/>
        <v>12647.5</v>
      </c>
      <c r="M124" s="70"/>
      <c r="O124" s="31" t="s">
        <v>580</v>
      </c>
      <c r="P124" s="31" t="s">
        <v>452</v>
      </c>
      <c r="Q124" s="27">
        <v>1</v>
      </c>
    </row>
    <row r="125" spans="1:17" ht="16.5" customHeight="1">
      <c r="A125" s="88" t="s">
        <v>352</v>
      </c>
      <c r="B125" s="88" t="s">
        <v>19</v>
      </c>
      <c r="C125" s="39" t="s">
        <v>339</v>
      </c>
      <c r="D125" s="90">
        <v>3.5699999999999996E-2</v>
      </c>
      <c r="E125" s="90"/>
      <c r="F125" s="90"/>
      <c r="G125" s="90">
        <f>ROUNDDOWN(자재단가대비표!N119,0)</f>
        <v>87805</v>
      </c>
      <c r="H125" s="90">
        <f>ROUNDDOWN(D125*G125,1)</f>
        <v>3134.6</v>
      </c>
      <c r="I125" s="90"/>
      <c r="J125" s="90"/>
      <c r="K125" s="90">
        <f t="shared" si="15"/>
        <v>87805</v>
      </c>
      <c r="L125" s="90">
        <f t="shared" si="15"/>
        <v>3134.6</v>
      </c>
      <c r="M125" s="70"/>
      <c r="O125" s="31" t="s">
        <v>580</v>
      </c>
      <c r="P125" s="31" t="s">
        <v>452</v>
      </c>
      <c r="Q125" s="27">
        <v>1</v>
      </c>
    </row>
    <row r="126" spans="1:17" ht="16.5" customHeight="1">
      <c r="A126" s="88" t="s">
        <v>538</v>
      </c>
      <c r="B126" s="34" t="str">
        <f>"노무비의 "&amp;N126*100&amp;"%"</f>
        <v>노무비의 3%</v>
      </c>
      <c r="C126" s="39" t="s">
        <v>459</v>
      </c>
      <c r="D126" s="94" t="s">
        <v>460</v>
      </c>
      <c r="E126" s="90">
        <f>SUMIF($O$121:O127, "04", $H$121:H127)</f>
        <v>15782.1</v>
      </c>
      <c r="F126" s="90">
        <f>ROUNDDOWN(E126*N126,1)</f>
        <v>473.4</v>
      </c>
      <c r="G126" s="90"/>
      <c r="H126" s="90"/>
      <c r="I126" s="90"/>
      <c r="J126" s="90"/>
      <c r="K126" s="90">
        <f t="shared" si="15"/>
        <v>15782.1</v>
      </c>
      <c r="L126" s="90">
        <f t="shared" si="15"/>
        <v>473.4</v>
      </c>
      <c r="M126" s="71" t="s">
        <v>539</v>
      </c>
      <c r="N126" s="32">
        <v>0.03</v>
      </c>
      <c r="P126" s="31" t="s">
        <v>452</v>
      </c>
      <c r="Q126" s="27">
        <v>1</v>
      </c>
    </row>
    <row r="127" spans="1:17" ht="16.5" customHeight="1">
      <c r="A127" s="88" t="s">
        <v>358</v>
      </c>
      <c r="B127" s="88" t="s">
        <v>19</v>
      </c>
      <c r="C127" s="39" t="s">
        <v>339</v>
      </c>
      <c r="D127" s="90">
        <v>1.1900000000000001E-2</v>
      </c>
      <c r="E127" s="90"/>
      <c r="F127" s="90"/>
      <c r="G127" s="90">
        <f>ROUNDDOWN(자재단가대비표!N124,0)</f>
        <v>104254</v>
      </c>
      <c r="H127" s="90">
        <f>ROUNDDOWN(D127*G127,1)</f>
        <v>1240.5999999999999</v>
      </c>
      <c r="I127" s="90"/>
      <c r="J127" s="90"/>
      <c r="K127" s="90">
        <f t="shared" si="15"/>
        <v>104254</v>
      </c>
      <c r="L127" s="90">
        <f t="shared" si="15"/>
        <v>1240.5999999999999</v>
      </c>
      <c r="M127" s="70"/>
      <c r="O127" s="31" t="s">
        <v>462</v>
      </c>
      <c r="P127" s="31" t="s">
        <v>452</v>
      </c>
      <c r="Q127" s="27">
        <v>1</v>
      </c>
    </row>
    <row r="128" spans="1:17" ht="16.5" customHeight="1">
      <c r="A128" s="116" t="s">
        <v>419</v>
      </c>
      <c r="B128" s="65"/>
      <c r="C128" s="66"/>
      <c r="D128" s="67"/>
      <c r="E128" s="67"/>
      <c r="F128" s="123">
        <f>ROUNDDOWN(SUMIF($Q$122:$Q$127, 1,$F$122:$F$127),0)</f>
        <v>1080</v>
      </c>
      <c r="G128" s="67"/>
      <c r="H128" s="123">
        <f>ROUNDDOWN(SUMIF($Q$122:$Q$127, 1,$H$122:$H$127),0)</f>
        <v>17022</v>
      </c>
      <c r="I128" s="67"/>
      <c r="J128" s="123">
        <f>ROUNDDOWN(SUMIF($Q$122:$Q$127, 1,$J$122:$J$127),0)</f>
        <v>0</v>
      </c>
      <c r="K128" s="67"/>
      <c r="L128" s="123">
        <f>F128+H128+J128</f>
        <v>18102</v>
      </c>
      <c r="M128" s="69"/>
    </row>
    <row r="129" spans="1:17" ht="16.5" customHeight="1">
      <c r="A129" s="88" t="s">
        <v>585</v>
      </c>
      <c r="B129" s="88" t="s">
        <v>586</v>
      </c>
      <c r="C129" s="39" t="s">
        <v>26</v>
      </c>
      <c r="D129" s="90"/>
      <c r="E129" s="90"/>
      <c r="F129" s="90"/>
      <c r="G129" s="90"/>
      <c r="H129" s="90"/>
      <c r="I129" s="90"/>
      <c r="J129" s="90"/>
      <c r="K129" s="90"/>
      <c r="L129" s="90"/>
      <c r="M129" s="71" t="s">
        <v>547</v>
      </c>
    </row>
    <row r="130" spans="1:17" ht="16.5" customHeight="1">
      <c r="A130" s="88" t="s">
        <v>548</v>
      </c>
      <c r="B130" s="88" t="s">
        <v>549</v>
      </c>
      <c r="C130" s="39" t="s">
        <v>107</v>
      </c>
      <c r="D130" s="90">
        <v>4.4999999999999998E-2</v>
      </c>
      <c r="E130" s="90">
        <f>ROUNDDOWN(일위대가표!F71,0)</f>
        <v>77320</v>
      </c>
      <c r="F130" s="90">
        <f>ROUNDDOWN(D130*E130,1)</f>
        <v>3479.4</v>
      </c>
      <c r="G130" s="90">
        <f>ROUNDDOWN(일위대가표!H71,0)</f>
        <v>40565</v>
      </c>
      <c r="H130" s="90">
        <f>ROUNDDOWN(D130*G130,1)</f>
        <v>1825.4</v>
      </c>
      <c r="I130" s="90"/>
      <c r="J130" s="90"/>
      <c r="K130" s="90">
        <f t="shared" ref="K130:L132" si="16">E130+G130+I130</f>
        <v>117885</v>
      </c>
      <c r="L130" s="90">
        <f t="shared" si="16"/>
        <v>5304.8</v>
      </c>
      <c r="M130" s="71" t="s">
        <v>550</v>
      </c>
      <c r="P130" s="31" t="s">
        <v>452</v>
      </c>
      <c r="Q130" s="27">
        <v>1</v>
      </c>
    </row>
    <row r="131" spans="1:17" ht="16.5" customHeight="1">
      <c r="A131" s="88" t="s">
        <v>350</v>
      </c>
      <c r="B131" s="88" t="s">
        <v>19</v>
      </c>
      <c r="C131" s="39" t="s">
        <v>339</v>
      </c>
      <c r="D131" s="90">
        <v>2.4500000000000001E-2</v>
      </c>
      <c r="E131" s="90"/>
      <c r="F131" s="90"/>
      <c r="G131" s="90">
        <f>ROUNDDOWN(자재단가대비표!N117,0)</f>
        <v>140811</v>
      </c>
      <c r="H131" s="90">
        <f>ROUNDDOWN(D131*G131,1)</f>
        <v>3449.8</v>
      </c>
      <c r="I131" s="90"/>
      <c r="J131" s="90"/>
      <c r="K131" s="90">
        <f t="shared" si="16"/>
        <v>140811</v>
      </c>
      <c r="L131" s="90">
        <f t="shared" si="16"/>
        <v>3449.8</v>
      </c>
      <c r="M131" s="70"/>
      <c r="O131" s="31" t="s">
        <v>462</v>
      </c>
      <c r="P131" s="31" t="s">
        <v>452</v>
      </c>
      <c r="Q131" s="27">
        <v>1</v>
      </c>
    </row>
    <row r="132" spans="1:17" ht="16.5" customHeight="1">
      <c r="A132" s="88" t="s">
        <v>352</v>
      </c>
      <c r="B132" s="88" t="s">
        <v>19</v>
      </c>
      <c r="C132" s="39" t="s">
        <v>339</v>
      </c>
      <c r="D132" s="90">
        <v>1.2599999999999998E-2</v>
      </c>
      <c r="E132" s="90"/>
      <c r="F132" s="90"/>
      <c r="G132" s="90">
        <f>ROUNDDOWN(자재단가대비표!N119,0)</f>
        <v>87805</v>
      </c>
      <c r="H132" s="90">
        <f>ROUNDDOWN(D132*G132,1)</f>
        <v>1106.3</v>
      </c>
      <c r="I132" s="90"/>
      <c r="J132" s="90"/>
      <c r="K132" s="90">
        <f t="shared" si="16"/>
        <v>87805</v>
      </c>
      <c r="L132" s="90">
        <f t="shared" si="16"/>
        <v>1106.3</v>
      </c>
      <c r="M132" s="70"/>
      <c r="O132" s="31" t="s">
        <v>462</v>
      </c>
      <c r="P132" s="31" t="s">
        <v>452</v>
      </c>
      <c r="Q132" s="27">
        <v>1</v>
      </c>
    </row>
    <row r="133" spans="1:17" ht="16.5" customHeight="1">
      <c r="A133" s="116" t="s">
        <v>419</v>
      </c>
      <c r="B133" s="65"/>
      <c r="C133" s="66"/>
      <c r="D133" s="67"/>
      <c r="E133" s="67"/>
      <c r="F133" s="123">
        <f>ROUNDDOWN(SUMIF($Q$130:$Q$132, 1,$F$130:$F$132),0)</f>
        <v>3479</v>
      </c>
      <c r="G133" s="67"/>
      <c r="H133" s="123">
        <f>ROUNDDOWN(SUMIF($Q$130:$Q$132, 1,$H$130:$H$132),0)</f>
        <v>6381</v>
      </c>
      <c r="I133" s="67"/>
      <c r="J133" s="123">
        <f>ROUNDDOWN(SUMIF($Q$130:$Q$132, 1,$J$130:$J$132),0)</f>
        <v>0</v>
      </c>
      <c r="K133" s="67"/>
      <c r="L133" s="123">
        <f>F133+H133+J133</f>
        <v>9860</v>
      </c>
      <c r="M133" s="69"/>
    </row>
    <row r="134" spans="1:17" ht="16.5" customHeight="1">
      <c r="A134" s="88" t="s">
        <v>587</v>
      </c>
      <c r="B134" s="88" t="s">
        <v>588</v>
      </c>
      <c r="C134" s="39" t="s">
        <v>237</v>
      </c>
      <c r="D134" s="90"/>
      <c r="E134" s="90"/>
      <c r="F134" s="90"/>
      <c r="G134" s="90"/>
      <c r="H134" s="90"/>
      <c r="I134" s="90"/>
      <c r="J134" s="90"/>
      <c r="K134" s="90"/>
      <c r="L134" s="90"/>
      <c r="M134" s="71" t="s">
        <v>19</v>
      </c>
    </row>
    <row r="135" spans="1:17" ht="16.5" customHeight="1">
      <c r="A135" s="88" t="s">
        <v>180</v>
      </c>
      <c r="B135" s="88" t="s">
        <v>181</v>
      </c>
      <c r="C135" s="39" t="s">
        <v>26</v>
      </c>
      <c r="D135" s="90">
        <v>4.32</v>
      </c>
      <c r="E135" s="90">
        <f>ROUNDDOWN(자재단가대비표!N52,0)</f>
        <v>310000</v>
      </c>
      <c r="F135" s="90">
        <f>ROUNDDOWN(D135*E135,1)</f>
        <v>1339200</v>
      </c>
      <c r="G135" s="90"/>
      <c r="H135" s="90"/>
      <c r="I135" s="90"/>
      <c r="J135" s="90"/>
      <c r="K135" s="90">
        <f>E135+G135+I135</f>
        <v>310000</v>
      </c>
      <c r="L135" s="90">
        <f>F135+H135+J135</f>
        <v>1339200</v>
      </c>
      <c r="M135" s="71" t="s">
        <v>183</v>
      </c>
      <c r="O135" s="31" t="s">
        <v>457</v>
      </c>
      <c r="P135" s="31" t="s">
        <v>452</v>
      </c>
      <c r="Q135" s="27">
        <v>1</v>
      </c>
    </row>
    <row r="136" spans="1:17" ht="16.5" customHeight="1">
      <c r="A136" s="116" t="s">
        <v>419</v>
      </c>
      <c r="B136" s="65"/>
      <c r="C136" s="66"/>
      <c r="D136" s="67"/>
      <c r="E136" s="67"/>
      <c r="F136" s="123">
        <f>ROUNDDOWN(SUMIF($Q$135:$Q$135, 1,$F$135:$F$135),0)</f>
        <v>1339200</v>
      </c>
      <c r="G136" s="67"/>
      <c r="H136" s="123">
        <f>ROUNDDOWN(SUMIF($Q$135:$Q$135, 1,$H$135:$H$135),0)</f>
        <v>0</v>
      </c>
      <c r="I136" s="67"/>
      <c r="J136" s="123">
        <f>ROUNDDOWN(SUMIF($Q$135:$Q$135, 1,$J$135:$J$135),0)</f>
        <v>0</v>
      </c>
      <c r="K136" s="67"/>
      <c r="L136" s="123">
        <f>F136+H136+J136</f>
        <v>1339200</v>
      </c>
      <c r="M136" s="69"/>
    </row>
    <row r="137" spans="1:17" ht="16.5" customHeight="1">
      <c r="A137" s="88" t="s">
        <v>589</v>
      </c>
      <c r="B137" s="88" t="s">
        <v>590</v>
      </c>
      <c r="C137" s="39" t="s">
        <v>237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71" t="s">
        <v>19</v>
      </c>
    </row>
    <row r="138" spans="1:17" ht="16.5" customHeight="1">
      <c r="A138" s="88" t="s">
        <v>184</v>
      </c>
      <c r="B138" s="88" t="s">
        <v>181</v>
      </c>
      <c r="C138" s="39" t="s">
        <v>26</v>
      </c>
      <c r="D138" s="90">
        <v>2.16</v>
      </c>
      <c r="E138" s="90">
        <f>ROUNDDOWN(자재단가대비표!N53,0)</f>
        <v>315000</v>
      </c>
      <c r="F138" s="90">
        <f>ROUNDDOWN(D138*E138,1)</f>
        <v>680400</v>
      </c>
      <c r="G138" s="90"/>
      <c r="H138" s="90"/>
      <c r="I138" s="90"/>
      <c r="J138" s="90"/>
      <c r="K138" s="90">
        <f>E138+G138+I138</f>
        <v>315000</v>
      </c>
      <c r="L138" s="90">
        <f>F138+H138+J138</f>
        <v>680400</v>
      </c>
      <c r="M138" s="71" t="s">
        <v>183</v>
      </c>
      <c r="O138" s="31" t="s">
        <v>457</v>
      </c>
      <c r="P138" s="31" t="s">
        <v>452</v>
      </c>
      <c r="Q138" s="27">
        <v>1</v>
      </c>
    </row>
    <row r="139" spans="1:17" ht="16.5" customHeight="1">
      <c r="A139" s="116" t="s">
        <v>419</v>
      </c>
      <c r="B139" s="65"/>
      <c r="C139" s="66"/>
      <c r="D139" s="67"/>
      <c r="E139" s="67"/>
      <c r="F139" s="123">
        <f>ROUNDDOWN(SUMIF($Q$138:$Q$138, 1,$F$138:$F$138),0)</f>
        <v>680400</v>
      </c>
      <c r="G139" s="67"/>
      <c r="H139" s="123">
        <f>ROUNDDOWN(SUMIF($Q$138:$Q$138, 1,$H$138:$H$138),0)</f>
        <v>0</v>
      </c>
      <c r="I139" s="67"/>
      <c r="J139" s="123">
        <f>ROUNDDOWN(SUMIF($Q$138:$Q$138, 1,$J$138:$J$138),0)</f>
        <v>0</v>
      </c>
      <c r="K139" s="67"/>
      <c r="L139" s="123">
        <f>F139+H139+J139</f>
        <v>680400</v>
      </c>
      <c r="M139" s="69"/>
    </row>
    <row r="140" spans="1:17" ht="16.5" customHeight="1">
      <c r="A140" s="88" t="s">
        <v>591</v>
      </c>
      <c r="B140" s="88" t="s">
        <v>590</v>
      </c>
      <c r="C140" s="39" t="s">
        <v>237</v>
      </c>
      <c r="D140" s="90"/>
      <c r="E140" s="90"/>
      <c r="F140" s="90"/>
      <c r="G140" s="90"/>
      <c r="H140" s="90"/>
      <c r="I140" s="90"/>
      <c r="J140" s="90"/>
      <c r="K140" s="90"/>
      <c r="L140" s="90"/>
      <c r="M140" s="71" t="s">
        <v>19</v>
      </c>
    </row>
    <row r="141" spans="1:17" ht="16.5" customHeight="1">
      <c r="A141" s="88" t="s">
        <v>184</v>
      </c>
      <c r="B141" s="88" t="s">
        <v>181</v>
      </c>
      <c r="C141" s="39" t="s">
        <v>26</v>
      </c>
      <c r="D141" s="90">
        <v>2.16</v>
      </c>
      <c r="E141" s="90">
        <f>ROUNDDOWN(자재단가대비표!N53,0)</f>
        <v>315000</v>
      </c>
      <c r="F141" s="90">
        <f>ROUNDDOWN(D141*E141,1)</f>
        <v>680400</v>
      </c>
      <c r="G141" s="90"/>
      <c r="H141" s="90"/>
      <c r="I141" s="90"/>
      <c r="J141" s="90"/>
      <c r="K141" s="90">
        <f>E141+G141+I141</f>
        <v>315000</v>
      </c>
      <c r="L141" s="90">
        <f>F141+H141+J141</f>
        <v>680400</v>
      </c>
      <c r="M141" s="71" t="s">
        <v>183</v>
      </c>
      <c r="O141" s="31" t="s">
        <v>457</v>
      </c>
      <c r="P141" s="31" t="s">
        <v>452</v>
      </c>
      <c r="Q141" s="27">
        <v>1</v>
      </c>
    </row>
    <row r="142" spans="1:17" ht="16.5" customHeight="1">
      <c r="A142" s="116" t="s">
        <v>419</v>
      </c>
      <c r="B142" s="65"/>
      <c r="C142" s="66"/>
      <c r="D142" s="67"/>
      <c r="E142" s="67"/>
      <c r="F142" s="123">
        <f>ROUNDDOWN(SUMIF($Q$141:$Q$141, 1,$F$141:$F$141),0)</f>
        <v>680400</v>
      </c>
      <c r="G142" s="67"/>
      <c r="H142" s="123">
        <f>ROUNDDOWN(SUMIF($Q$141:$Q$141, 1,$H$141:$H$141),0)</f>
        <v>0</v>
      </c>
      <c r="I142" s="67"/>
      <c r="J142" s="123">
        <f>ROUNDDOWN(SUMIF($Q$141:$Q$141, 1,$J$141:$J$141),0)</f>
        <v>0</v>
      </c>
      <c r="K142" s="67"/>
      <c r="L142" s="123">
        <f>F142+H142+J142</f>
        <v>680400</v>
      </c>
      <c r="M142" s="69"/>
    </row>
    <row r="143" spans="1:17" ht="16.5" customHeight="1">
      <c r="A143" s="88" t="s">
        <v>592</v>
      </c>
      <c r="B143" s="88" t="s">
        <v>593</v>
      </c>
      <c r="C143" s="39" t="s">
        <v>237</v>
      </c>
      <c r="D143" s="90"/>
      <c r="E143" s="90"/>
      <c r="F143" s="90"/>
      <c r="G143" s="90"/>
      <c r="H143" s="90"/>
      <c r="I143" s="90"/>
      <c r="J143" s="90"/>
      <c r="K143" s="90"/>
      <c r="L143" s="90"/>
      <c r="M143" s="71" t="s">
        <v>19</v>
      </c>
    </row>
    <row r="144" spans="1:17" ht="16.5" customHeight="1">
      <c r="A144" s="88" t="s">
        <v>277</v>
      </c>
      <c r="B144" s="88" t="s">
        <v>278</v>
      </c>
      <c r="C144" s="39" t="s">
        <v>26</v>
      </c>
      <c r="D144" s="90">
        <v>9.4499999999999993</v>
      </c>
      <c r="E144" s="90">
        <f>ROUNDDOWN(자재단가대비표!N83,0)</f>
        <v>30000</v>
      </c>
      <c r="F144" s="90">
        <f>ROUNDDOWN(D144*E144,1)</f>
        <v>283500</v>
      </c>
      <c r="G144" s="90"/>
      <c r="H144" s="90"/>
      <c r="I144" s="90"/>
      <c r="J144" s="90"/>
      <c r="K144" s="90">
        <f>E144+G144+I144</f>
        <v>30000</v>
      </c>
      <c r="L144" s="90">
        <f>F144+H144+J144</f>
        <v>283500</v>
      </c>
      <c r="M144" s="70"/>
      <c r="O144" s="31" t="s">
        <v>457</v>
      </c>
      <c r="P144" s="31" t="s">
        <v>452</v>
      </c>
      <c r="Q144" s="27">
        <v>1</v>
      </c>
    </row>
    <row r="145" spans="1:17" ht="16.5" customHeight="1">
      <c r="A145" s="116" t="s">
        <v>419</v>
      </c>
      <c r="B145" s="65"/>
      <c r="C145" s="66"/>
      <c r="D145" s="67"/>
      <c r="E145" s="67"/>
      <c r="F145" s="123">
        <f>ROUNDDOWN(SUMIF($Q$144:$Q$144, 1,$F$144:$F$144),0)</f>
        <v>283500</v>
      </c>
      <c r="G145" s="67"/>
      <c r="H145" s="123">
        <f>ROUNDDOWN(SUMIF($Q$144:$Q$144, 1,$H$144:$H$144),0)</f>
        <v>0</v>
      </c>
      <c r="I145" s="67"/>
      <c r="J145" s="123">
        <f>ROUNDDOWN(SUMIF($Q$144:$Q$144, 1,$J$144:$J$144),0)</f>
        <v>0</v>
      </c>
      <c r="K145" s="67"/>
      <c r="L145" s="123">
        <f>F145+H145+J145</f>
        <v>283500</v>
      </c>
      <c r="M145" s="69"/>
    </row>
    <row r="146" spans="1:17" ht="16.5" customHeight="1">
      <c r="A146" s="88" t="s">
        <v>594</v>
      </c>
      <c r="B146" s="88" t="s">
        <v>595</v>
      </c>
      <c r="C146" s="39" t="s">
        <v>237</v>
      </c>
      <c r="D146" s="90"/>
      <c r="E146" s="90"/>
      <c r="F146" s="90"/>
      <c r="G146" s="90"/>
      <c r="H146" s="90"/>
      <c r="I146" s="90"/>
      <c r="J146" s="90"/>
      <c r="K146" s="90"/>
      <c r="L146" s="90"/>
      <c r="M146" s="71" t="s">
        <v>19</v>
      </c>
    </row>
    <row r="147" spans="1:17" ht="16.5" customHeight="1">
      <c r="A147" s="88" t="s">
        <v>184</v>
      </c>
      <c r="B147" s="88" t="s">
        <v>181</v>
      </c>
      <c r="C147" s="39" t="s">
        <v>26</v>
      </c>
      <c r="D147" s="90">
        <v>1.68</v>
      </c>
      <c r="E147" s="90">
        <f>ROUNDDOWN(자재단가대비표!N53,0)</f>
        <v>315000</v>
      </c>
      <c r="F147" s="90">
        <f>ROUNDDOWN(D147*E147,1)</f>
        <v>529200</v>
      </c>
      <c r="G147" s="90"/>
      <c r="H147" s="90"/>
      <c r="I147" s="90"/>
      <c r="J147" s="90"/>
      <c r="K147" s="90">
        <f>E147+G147+I147</f>
        <v>315000</v>
      </c>
      <c r="L147" s="90">
        <f>F147+H147+J147</f>
        <v>529200</v>
      </c>
      <c r="M147" s="71" t="s">
        <v>183</v>
      </c>
      <c r="O147" s="31" t="s">
        <v>457</v>
      </c>
      <c r="P147" s="31" t="s">
        <v>452</v>
      </c>
      <c r="Q147" s="27">
        <v>1</v>
      </c>
    </row>
    <row r="148" spans="1:17" ht="16.5" customHeight="1">
      <c r="A148" s="116" t="s">
        <v>419</v>
      </c>
      <c r="B148" s="65"/>
      <c r="C148" s="66"/>
      <c r="D148" s="67"/>
      <c r="E148" s="67"/>
      <c r="F148" s="123">
        <f>ROUNDDOWN(SUMIF($Q$147:$Q$147, 1,$F$147:$F$147),0)</f>
        <v>529200</v>
      </c>
      <c r="G148" s="67"/>
      <c r="H148" s="123">
        <f>ROUNDDOWN(SUMIF($Q$147:$Q$147, 1,$H$147:$H$147),0)</f>
        <v>0</v>
      </c>
      <c r="I148" s="67"/>
      <c r="J148" s="123">
        <f>ROUNDDOWN(SUMIF($Q$147:$Q$147, 1,$J$147:$J$147),0)</f>
        <v>0</v>
      </c>
      <c r="K148" s="67"/>
      <c r="L148" s="123">
        <f>F148+H148+J148</f>
        <v>529200</v>
      </c>
      <c r="M148" s="69"/>
    </row>
    <row r="149" spans="1:17" ht="16.5" customHeight="1">
      <c r="A149" s="88" t="s">
        <v>596</v>
      </c>
      <c r="B149" s="88" t="s">
        <v>597</v>
      </c>
      <c r="C149" s="39" t="s">
        <v>34</v>
      </c>
      <c r="D149" s="90"/>
      <c r="E149" s="90"/>
      <c r="F149" s="90"/>
      <c r="G149" s="90"/>
      <c r="H149" s="90"/>
      <c r="I149" s="90"/>
      <c r="J149" s="90"/>
      <c r="K149" s="90"/>
      <c r="L149" s="90"/>
      <c r="M149" s="71" t="s">
        <v>598</v>
      </c>
    </row>
    <row r="150" spans="1:17" ht="16.5" customHeight="1">
      <c r="A150" s="88" t="s">
        <v>233</v>
      </c>
      <c r="B150" s="88" t="s">
        <v>234</v>
      </c>
      <c r="C150" s="39" t="s">
        <v>72</v>
      </c>
      <c r="D150" s="90">
        <v>0.03</v>
      </c>
      <c r="E150" s="90">
        <f>ROUNDDOWN(자재단가대비표!N68,0)</f>
        <v>6300</v>
      </c>
      <c r="F150" s="90">
        <f>ROUNDDOWN(D150*E150,1)</f>
        <v>189</v>
      </c>
      <c r="G150" s="90"/>
      <c r="H150" s="90"/>
      <c r="I150" s="90"/>
      <c r="J150" s="90"/>
      <c r="K150" s="90">
        <f>E150+G150+I150</f>
        <v>6300</v>
      </c>
      <c r="L150" s="90">
        <f>F150+H150+J150</f>
        <v>189</v>
      </c>
      <c r="M150" s="70"/>
      <c r="O150" s="31" t="s">
        <v>457</v>
      </c>
      <c r="P150" s="31" t="s">
        <v>452</v>
      </c>
      <c r="Q150" s="27">
        <v>1</v>
      </c>
    </row>
    <row r="151" spans="1:17" ht="16.5" customHeight="1">
      <c r="A151" s="88" t="s">
        <v>361</v>
      </c>
      <c r="B151" s="88" t="s">
        <v>19</v>
      </c>
      <c r="C151" s="39" t="s">
        <v>339</v>
      </c>
      <c r="D151" s="90">
        <v>2.0999999999999998E-2</v>
      </c>
      <c r="E151" s="90"/>
      <c r="F151" s="90"/>
      <c r="G151" s="90">
        <f>ROUNDDOWN(자재단가대비표!N127,0)</f>
        <v>115796</v>
      </c>
      <c r="H151" s="90">
        <f>ROUNDDOWN(D151*G151,1)</f>
        <v>2431.6999999999998</v>
      </c>
      <c r="I151" s="90"/>
      <c r="J151" s="90"/>
      <c r="K151" s="90">
        <f>E151+G151+I151</f>
        <v>115796</v>
      </c>
      <c r="L151" s="90">
        <f>F151+H151+J151</f>
        <v>2431.6999999999998</v>
      </c>
      <c r="M151" s="70"/>
      <c r="O151" s="31" t="s">
        <v>462</v>
      </c>
      <c r="P151" s="31" t="s">
        <v>452</v>
      </c>
      <c r="Q151" s="27">
        <v>1</v>
      </c>
    </row>
    <row r="152" spans="1:17" ht="16.5" customHeight="1">
      <c r="A152" s="116" t="s">
        <v>419</v>
      </c>
      <c r="B152" s="65"/>
      <c r="C152" s="66"/>
      <c r="D152" s="67"/>
      <c r="E152" s="67"/>
      <c r="F152" s="123">
        <f>ROUNDDOWN(SUMIF($Q$150:$Q$151, 1,$F$150:$F$151),0)</f>
        <v>189</v>
      </c>
      <c r="G152" s="67"/>
      <c r="H152" s="123">
        <f>ROUNDDOWN(SUMIF($Q$150:$Q$151, 1,$H$150:$H$151),0)</f>
        <v>2431</v>
      </c>
      <c r="I152" s="67"/>
      <c r="J152" s="123">
        <f>ROUNDDOWN(SUMIF($Q$150:$Q$151, 1,$J$150:$J$151),0)</f>
        <v>0</v>
      </c>
      <c r="K152" s="67"/>
      <c r="L152" s="123">
        <f>F152+H152+J152</f>
        <v>2620</v>
      </c>
      <c r="M152" s="69"/>
    </row>
    <row r="153" spans="1:17" ht="16.5" customHeight="1">
      <c r="A153" s="88" t="s">
        <v>599</v>
      </c>
      <c r="B153" s="88" t="s">
        <v>600</v>
      </c>
      <c r="C153" s="39" t="s">
        <v>34</v>
      </c>
      <c r="D153" s="90"/>
      <c r="E153" s="90"/>
      <c r="F153" s="90"/>
      <c r="G153" s="90"/>
      <c r="H153" s="90"/>
      <c r="I153" s="90"/>
      <c r="J153" s="90"/>
      <c r="K153" s="90"/>
      <c r="L153" s="90"/>
      <c r="M153" s="71" t="s">
        <v>477</v>
      </c>
    </row>
    <row r="154" spans="1:17" ht="16.5" customHeight="1">
      <c r="A154" s="88" t="s">
        <v>195</v>
      </c>
      <c r="B154" s="88" t="s">
        <v>196</v>
      </c>
      <c r="C154" s="39" t="s">
        <v>58</v>
      </c>
      <c r="D154" s="90">
        <v>0.85040000000000004</v>
      </c>
      <c r="E154" s="90">
        <f>ROUNDDOWN(자재단가대비표!N58,0)</f>
        <v>3380</v>
      </c>
      <c r="F154" s="90">
        <f>ROUNDDOWN(D154*E154,1)</f>
        <v>2874.3</v>
      </c>
      <c r="G154" s="90"/>
      <c r="H154" s="90"/>
      <c r="I154" s="90"/>
      <c r="J154" s="90"/>
      <c r="K154" s="90">
        <f t="shared" ref="K154:L158" si="17">E154+G154+I154</f>
        <v>3380</v>
      </c>
      <c r="L154" s="90">
        <f t="shared" si="17"/>
        <v>2874.3</v>
      </c>
      <c r="M154" s="70"/>
      <c r="O154" s="31" t="s">
        <v>457</v>
      </c>
      <c r="P154" s="31" t="s">
        <v>452</v>
      </c>
      <c r="Q154" s="27">
        <v>1</v>
      </c>
    </row>
    <row r="155" spans="1:17" ht="16.5" customHeight="1">
      <c r="A155" s="88" t="s">
        <v>281</v>
      </c>
      <c r="B155" s="88" t="s">
        <v>287</v>
      </c>
      <c r="C155" s="39" t="s">
        <v>58</v>
      </c>
      <c r="D155" s="90">
        <v>1.7874000000000001</v>
      </c>
      <c r="E155" s="90">
        <f>ROUNDDOWN(자재단가대비표!N85,0)</f>
        <v>1074</v>
      </c>
      <c r="F155" s="90">
        <f>ROUNDDOWN(D155*E155,1)</f>
        <v>1919.6</v>
      </c>
      <c r="G155" s="90"/>
      <c r="H155" s="90"/>
      <c r="I155" s="90"/>
      <c r="J155" s="90"/>
      <c r="K155" s="90">
        <f t="shared" si="17"/>
        <v>1074</v>
      </c>
      <c r="L155" s="90">
        <f t="shared" si="17"/>
        <v>1919.6</v>
      </c>
      <c r="M155" s="70"/>
      <c r="O155" s="31" t="s">
        <v>457</v>
      </c>
      <c r="P155" s="31" t="s">
        <v>452</v>
      </c>
      <c r="Q155" s="27">
        <v>1</v>
      </c>
    </row>
    <row r="156" spans="1:17" ht="16.5" customHeight="1">
      <c r="A156" s="88" t="s">
        <v>281</v>
      </c>
      <c r="B156" s="88" t="s">
        <v>282</v>
      </c>
      <c r="C156" s="39" t="s">
        <v>58</v>
      </c>
      <c r="D156" s="90">
        <v>5.11E-2</v>
      </c>
      <c r="E156" s="90">
        <f>ROUNDDOWN(자재단가대비표!N84,0)</f>
        <v>880</v>
      </c>
      <c r="F156" s="90">
        <f>ROUNDDOWN(D156*E156,1)</f>
        <v>44.9</v>
      </c>
      <c r="G156" s="90"/>
      <c r="H156" s="90"/>
      <c r="I156" s="90"/>
      <c r="J156" s="90"/>
      <c r="K156" s="90">
        <f t="shared" si="17"/>
        <v>880</v>
      </c>
      <c r="L156" s="90">
        <f t="shared" si="17"/>
        <v>44.9</v>
      </c>
      <c r="M156" s="70"/>
      <c r="O156" s="31" t="s">
        <v>457</v>
      </c>
      <c r="P156" s="31" t="s">
        <v>452</v>
      </c>
      <c r="Q156" s="27">
        <v>1</v>
      </c>
    </row>
    <row r="157" spans="1:17" ht="16.5" customHeight="1">
      <c r="A157" s="88" t="s">
        <v>601</v>
      </c>
      <c r="B157" s="88" t="s">
        <v>602</v>
      </c>
      <c r="C157" s="39" t="s">
        <v>58</v>
      </c>
      <c r="D157" s="90">
        <v>0.77310000000000001</v>
      </c>
      <c r="E157" s="90">
        <f>ROUNDDOWN(일위대가표!F171,0)</f>
        <v>292</v>
      </c>
      <c r="F157" s="90">
        <f>ROUNDDOWN(D157*E157,1)</f>
        <v>225.7</v>
      </c>
      <c r="G157" s="90">
        <f>ROUNDDOWN(일위대가표!H171,0)</f>
        <v>3012</v>
      </c>
      <c r="H157" s="90">
        <f>ROUNDDOWN(D157*G157,1)</f>
        <v>2328.5</v>
      </c>
      <c r="I157" s="90">
        <f>ROUNDDOWN(일위대가표!J171,0)</f>
        <v>12</v>
      </c>
      <c r="J157" s="90">
        <f>ROUNDDOWN(D157*I157,1)</f>
        <v>9.1999999999999993</v>
      </c>
      <c r="K157" s="90">
        <f t="shared" si="17"/>
        <v>3316</v>
      </c>
      <c r="L157" s="90">
        <f t="shared" si="17"/>
        <v>2563.3999999999996</v>
      </c>
      <c r="M157" s="71" t="s">
        <v>603</v>
      </c>
      <c r="P157" s="31" t="s">
        <v>452</v>
      </c>
      <c r="Q157" s="27">
        <v>1</v>
      </c>
    </row>
    <row r="158" spans="1:17" ht="16.5" customHeight="1">
      <c r="A158" s="88" t="s">
        <v>604</v>
      </c>
      <c r="B158" s="88" t="s">
        <v>602</v>
      </c>
      <c r="C158" s="39" t="s">
        <v>58</v>
      </c>
      <c r="D158" s="90">
        <v>1.6713</v>
      </c>
      <c r="E158" s="90">
        <f>ROUNDDOWN(일위대가표!F183,0)</f>
        <v>187</v>
      </c>
      <c r="F158" s="90">
        <f>ROUNDDOWN(D158*E158,1)</f>
        <v>312.5</v>
      </c>
      <c r="G158" s="90">
        <f>ROUNDDOWN(일위대가표!H183,0)</f>
        <v>3012</v>
      </c>
      <c r="H158" s="90">
        <f>ROUNDDOWN(D158*G158,1)</f>
        <v>5033.8999999999996</v>
      </c>
      <c r="I158" s="90">
        <f>ROUNDDOWN(일위대가표!J183,0)</f>
        <v>12</v>
      </c>
      <c r="J158" s="90">
        <f>ROUNDDOWN(D158*I158,1)</f>
        <v>20</v>
      </c>
      <c r="K158" s="90">
        <f t="shared" si="17"/>
        <v>3211</v>
      </c>
      <c r="L158" s="90">
        <f t="shared" si="17"/>
        <v>5366.4</v>
      </c>
      <c r="M158" s="71" t="s">
        <v>605</v>
      </c>
      <c r="P158" s="31" t="s">
        <v>452</v>
      </c>
      <c r="Q158" s="27">
        <v>1</v>
      </c>
    </row>
    <row r="159" spans="1:17" ht="16.5" customHeight="1">
      <c r="A159" s="116" t="s">
        <v>419</v>
      </c>
      <c r="B159" s="65"/>
      <c r="C159" s="66"/>
      <c r="D159" s="67"/>
      <c r="E159" s="67"/>
      <c r="F159" s="123">
        <f>ROUNDDOWN(SUMIF($Q$154:$Q$158, 1,$F$154:$F$158),0)</f>
        <v>5377</v>
      </c>
      <c r="G159" s="67"/>
      <c r="H159" s="123">
        <f>ROUNDDOWN(SUMIF($Q$154:$Q$158, 1,$H$154:$H$158),0)</f>
        <v>7362</v>
      </c>
      <c r="I159" s="67"/>
      <c r="J159" s="123">
        <f>ROUNDDOWN(SUMIF($Q$154:$Q$158, 1,$J$154:$J$158),0)</f>
        <v>29</v>
      </c>
      <c r="K159" s="67"/>
      <c r="L159" s="123">
        <f>F159+H159+J159</f>
        <v>12768</v>
      </c>
      <c r="M159" s="69"/>
    </row>
    <row r="160" spans="1:17" ht="16.5" customHeight="1">
      <c r="A160" s="88" t="s">
        <v>606</v>
      </c>
      <c r="B160" s="88" t="s">
        <v>602</v>
      </c>
      <c r="C160" s="39" t="s">
        <v>58</v>
      </c>
      <c r="D160" s="90"/>
      <c r="E160" s="90"/>
      <c r="F160" s="90"/>
      <c r="G160" s="90"/>
      <c r="H160" s="90"/>
      <c r="I160" s="90"/>
      <c r="J160" s="90"/>
      <c r="K160" s="90"/>
      <c r="L160" s="90"/>
      <c r="M160" s="71" t="s">
        <v>607</v>
      </c>
    </row>
    <row r="161" spans="1:17" ht="16.5" customHeight="1">
      <c r="A161" s="88" t="s">
        <v>262</v>
      </c>
      <c r="B161" s="88" t="s">
        <v>263</v>
      </c>
      <c r="C161" s="39" t="s">
        <v>58</v>
      </c>
      <c r="D161" s="90">
        <v>1.84E-2</v>
      </c>
      <c r="E161" s="90">
        <f>ROUNDDOWN(자재단가대비표!N79,0)</f>
        <v>8880</v>
      </c>
      <c r="F161" s="90">
        <f>ROUNDDOWN(D161*E161,1)</f>
        <v>163.30000000000001</v>
      </c>
      <c r="G161" s="90"/>
      <c r="H161" s="90"/>
      <c r="I161" s="90"/>
      <c r="J161" s="90"/>
      <c r="K161" s="90">
        <f t="shared" ref="K161:K170" si="18">E161+G161+I161</f>
        <v>8880</v>
      </c>
      <c r="L161" s="90">
        <f t="shared" ref="L161:L170" si="19">F161+H161+J161</f>
        <v>163.30000000000001</v>
      </c>
      <c r="M161" s="70"/>
      <c r="O161" s="31" t="s">
        <v>457</v>
      </c>
      <c r="P161" s="31" t="s">
        <v>452</v>
      </c>
      <c r="Q161" s="27">
        <v>1</v>
      </c>
    </row>
    <row r="162" spans="1:17" ht="16.5" customHeight="1">
      <c r="A162" s="88" t="s">
        <v>151</v>
      </c>
      <c r="B162" s="88" t="s">
        <v>152</v>
      </c>
      <c r="C162" s="39" t="s">
        <v>72</v>
      </c>
      <c r="D162" s="90">
        <v>6.3</v>
      </c>
      <c r="E162" s="90">
        <f>ROUNDDOWN(자재단가대비표!N43,0)</f>
        <v>2</v>
      </c>
      <c r="F162" s="90">
        <f>ROUNDDOWN(D162*E162,1)</f>
        <v>12.6</v>
      </c>
      <c r="G162" s="90"/>
      <c r="H162" s="90"/>
      <c r="I162" s="90"/>
      <c r="J162" s="90"/>
      <c r="K162" s="90">
        <f t="shared" si="18"/>
        <v>2</v>
      </c>
      <c r="L162" s="90">
        <f t="shared" si="19"/>
        <v>12.6</v>
      </c>
      <c r="M162" s="70"/>
      <c r="O162" s="31" t="s">
        <v>457</v>
      </c>
      <c r="P162" s="31" t="s">
        <v>452</v>
      </c>
      <c r="Q162" s="27">
        <v>1</v>
      </c>
    </row>
    <row r="163" spans="1:17" ht="16.5" customHeight="1">
      <c r="A163" s="88" t="s">
        <v>240</v>
      </c>
      <c r="B163" s="88" t="s">
        <v>19</v>
      </c>
      <c r="C163" s="39" t="s">
        <v>58</v>
      </c>
      <c r="D163" s="90">
        <v>2.8E-3</v>
      </c>
      <c r="E163" s="90">
        <f>ROUNDDOWN(자재단가대비표!N71,0)</f>
        <v>9500</v>
      </c>
      <c r="F163" s="90">
        <f>ROUNDDOWN(D163*E163,1)</f>
        <v>26.6</v>
      </c>
      <c r="G163" s="90"/>
      <c r="H163" s="90"/>
      <c r="I163" s="90"/>
      <c r="J163" s="90"/>
      <c r="K163" s="90">
        <f t="shared" si="18"/>
        <v>9500</v>
      </c>
      <c r="L163" s="90">
        <f t="shared" si="19"/>
        <v>26.6</v>
      </c>
      <c r="M163" s="71" t="s">
        <v>241</v>
      </c>
      <c r="O163" s="31" t="s">
        <v>457</v>
      </c>
      <c r="P163" s="31" t="s">
        <v>452</v>
      </c>
      <c r="Q163" s="27">
        <v>1</v>
      </c>
    </row>
    <row r="164" spans="1:17" ht="16.5" customHeight="1">
      <c r="A164" s="88" t="s">
        <v>538</v>
      </c>
      <c r="B164" s="34" t="str">
        <f>"노무비의 "&amp;N164*100&amp;"%"</f>
        <v>노무비의 3%</v>
      </c>
      <c r="C164" s="39" t="s">
        <v>459</v>
      </c>
      <c r="D164" s="94" t="s">
        <v>460</v>
      </c>
      <c r="E164" s="90">
        <f>SUMIF($O$160:O170, "02", $H$160:H170)</f>
        <v>3012.8999999999996</v>
      </c>
      <c r="F164" s="90">
        <f>ROUNDDOWN(E164*N164,1)</f>
        <v>90.3</v>
      </c>
      <c r="G164" s="90"/>
      <c r="H164" s="90"/>
      <c r="I164" s="90"/>
      <c r="J164" s="90"/>
      <c r="K164" s="90">
        <f t="shared" si="18"/>
        <v>3012.8999999999996</v>
      </c>
      <c r="L164" s="90">
        <f t="shared" si="19"/>
        <v>90.3</v>
      </c>
      <c r="M164" s="71" t="s">
        <v>539</v>
      </c>
      <c r="N164" s="32">
        <v>0.03</v>
      </c>
      <c r="P164" s="31" t="s">
        <v>452</v>
      </c>
      <c r="Q164" s="27">
        <v>1</v>
      </c>
    </row>
    <row r="165" spans="1:17" ht="16.5" customHeight="1">
      <c r="A165" s="88" t="s">
        <v>360</v>
      </c>
      <c r="B165" s="88" t="s">
        <v>19</v>
      </c>
      <c r="C165" s="39" t="s">
        <v>339</v>
      </c>
      <c r="D165" s="90">
        <v>1.9300000000000001E-2</v>
      </c>
      <c r="E165" s="90"/>
      <c r="F165" s="90"/>
      <c r="G165" s="90">
        <f>ROUNDDOWN(자재단가대비표!N126,0)</f>
        <v>138946</v>
      </c>
      <c r="H165" s="90">
        <f>ROUNDDOWN(D165*G165,1)</f>
        <v>2681.6</v>
      </c>
      <c r="I165" s="90"/>
      <c r="J165" s="90"/>
      <c r="K165" s="90">
        <f t="shared" si="18"/>
        <v>138946</v>
      </c>
      <c r="L165" s="90">
        <f t="shared" si="19"/>
        <v>2681.6</v>
      </c>
      <c r="M165" s="70"/>
      <c r="O165" s="31" t="s">
        <v>462</v>
      </c>
      <c r="P165" s="31" t="s">
        <v>452</v>
      </c>
      <c r="Q165" s="27">
        <v>1</v>
      </c>
    </row>
    <row r="166" spans="1:17" ht="16.5" customHeight="1">
      <c r="A166" s="88" t="s">
        <v>352</v>
      </c>
      <c r="B166" s="88" t="s">
        <v>19</v>
      </c>
      <c r="C166" s="39" t="s">
        <v>339</v>
      </c>
      <c r="D166" s="90">
        <v>4.0000000000000002E-4</v>
      </c>
      <c r="E166" s="90"/>
      <c r="F166" s="90"/>
      <c r="G166" s="90">
        <f>ROUNDDOWN(자재단가대비표!N119,0)</f>
        <v>87805</v>
      </c>
      <c r="H166" s="90">
        <f>ROUNDDOWN(D166*G166,1)</f>
        <v>35.1</v>
      </c>
      <c r="I166" s="90"/>
      <c r="J166" s="90"/>
      <c r="K166" s="90">
        <f t="shared" si="18"/>
        <v>87805</v>
      </c>
      <c r="L166" s="90">
        <f t="shared" si="19"/>
        <v>35.1</v>
      </c>
      <c r="M166" s="70"/>
      <c r="O166" s="31" t="s">
        <v>462</v>
      </c>
      <c r="P166" s="31" t="s">
        <v>452</v>
      </c>
      <c r="Q166" s="27">
        <v>1</v>
      </c>
    </row>
    <row r="167" spans="1:17" ht="16.5" customHeight="1">
      <c r="A167" s="88" t="s">
        <v>353</v>
      </c>
      <c r="B167" s="88" t="s">
        <v>19</v>
      </c>
      <c r="C167" s="39" t="s">
        <v>339</v>
      </c>
      <c r="D167" s="90">
        <v>1.8E-3</v>
      </c>
      <c r="E167" s="90"/>
      <c r="F167" s="90"/>
      <c r="G167" s="90">
        <f>ROUNDDOWN(자재단가대비표!N120,0)</f>
        <v>134516</v>
      </c>
      <c r="H167" s="90">
        <f>ROUNDDOWN(D167*G167,1)</f>
        <v>242.1</v>
      </c>
      <c r="I167" s="90"/>
      <c r="J167" s="90"/>
      <c r="K167" s="90">
        <f t="shared" si="18"/>
        <v>134516</v>
      </c>
      <c r="L167" s="90">
        <f t="shared" si="19"/>
        <v>242.1</v>
      </c>
      <c r="M167" s="71" t="s">
        <v>354</v>
      </c>
      <c r="O167" s="31" t="s">
        <v>462</v>
      </c>
      <c r="P167" s="31" t="s">
        <v>452</v>
      </c>
      <c r="Q167" s="27">
        <v>1</v>
      </c>
    </row>
    <row r="168" spans="1:17" ht="16.5" customHeight="1">
      <c r="A168" s="88" t="s">
        <v>363</v>
      </c>
      <c r="B168" s="88" t="s">
        <v>19</v>
      </c>
      <c r="C168" s="39" t="s">
        <v>339</v>
      </c>
      <c r="D168" s="90">
        <v>5.0000000000000001E-4</v>
      </c>
      <c r="E168" s="90"/>
      <c r="F168" s="90"/>
      <c r="G168" s="90">
        <f>ROUNDDOWN(자재단가대비표!N129,0)</f>
        <v>108245</v>
      </c>
      <c r="H168" s="90">
        <f>ROUNDDOWN(D168*G168,1)</f>
        <v>54.1</v>
      </c>
      <c r="I168" s="90"/>
      <c r="J168" s="90"/>
      <c r="K168" s="90">
        <f t="shared" si="18"/>
        <v>108245</v>
      </c>
      <c r="L168" s="90">
        <f t="shared" si="19"/>
        <v>54.1</v>
      </c>
      <c r="M168" s="70"/>
      <c r="O168" s="31" t="s">
        <v>462</v>
      </c>
      <c r="P168" s="31" t="s">
        <v>452</v>
      </c>
      <c r="Q168" s="27">
        <v>1</v>
      </c>
    </row>
    <row r="169" spans="1:17" ht="16.5" customHeight="1">
      <c r="A169" s="88" t="s">
        <v>369</v>
      </c>
      <c r="B169" s="88" t="s">
        <v>370</v>
      </c>
      <c r="C169" s="39" t="s">
        <v>448</v>
      </c>
      <c r="D169" s="90">
        <v>2.0830000000000001E-2</v>
      </c>
      <c r="E169" s="90"/>
      <c r="F169" s="90"/>
      <c r="G169" s="90"/>
      <c r="H169" s="90"/>
      <c r="I169" s="90">
        <f>ROUNDDOWN(중기경비!J9,0)</f>
        <v>124</v>
      </c>
      <c r="J169" s="90">
        <f>ROUNDDOWN(D169*I169,1)</f>
        <v>2.5</v>
      </c>
      <c r="K169" s="90">
        <f t="shared" si="18"/>
        <v>124</v>
      </c>
      <c r="L169" s="90">
        <f t="shared" si="19"/>
        <v>2.5</v>
      </c>
      <c r="M169" s="71" t="s">
        <v>471</v>
      </c>
      <c r="P169" s="31" t="s">
        <v>452</v>
      </c>
      <c r="Q169" s="27">
        <v>1</v>
      </c>
    </row>
    <row r="170" spans="1:17" ht="16.5" customHeight="1">
      <c r="A170" s="88" t="s">
        <v>371</v>
      </c>
      <c r="B170" s="88" t="s">
        <v>19</v>
      </c>
      <c r="C170" s="39" t="s">
        <v>372</v>
      </c>
      <c r="D170" s="90">
        <v>0.126</v>
      </c>
      <c r="E170" s="90"/>
      <c r="F170" s="90"/>
      <c r="G170" s="90"/>
      <c r="H170" s="90"/>
      <c r="I170" s="90">
        <f>ROUNDDOWN(자재단가대비표!N133,2)</f>
        <v>83</v>
      </c>
      <c r="J170" s="90">
        <f>ROUNDDOWN(D170*I170,1)</f>
        <v>10.4</v>
      </c>
      <c r="K170" s="90">
        <f t="shared" si="18"/>
        <v>83</v>
      </c>
      <c r="L170" s="90">
        <f t="shared" si="19"/>
        <v>10.4</v>
      </c>
      <c r="M170" s="70"/>
      <c r="O170" s="31" t="s">
        <v>451</v>
      </c>
      <c r="P170" s="31" t="s">
        <v>452</v>
      </c>
      <c r="Q170" s="27">
        <v>1</v>
      </c>
    </row>
    <row r="171" spans="1:17" ht="16.5" customHeight="1">
      <c r="A171" s="116" t="s">
        <v>419</v>
      </c>
      <c r="B171" s="65"/>
      <c r="C171" s="66"/>
      <c r="D171" s="67"/>
      <c r="E171" s="67"/>
      <c r="F171" s="123">
        <f>ROUNDDOWN(SUMIF($Q$161:$Q$170, 1,$F$161:$F$170),0)</f>
        <v>292</v>
      </c>
      <c r="G171" s="67"/>
      <c r="H171" s="123">
        <f>ROUNDDOWN(SUMIF($Q$161:$Q$170, 1,$H$161:$H$170),0)</f>
        <v>3012</v>
      </c>
      <c r="I171" s="67"/>
      <c r="J171" s="123">
        <f>ROUNDDOWN(SUMIF($Q$161:$Q$170, 1,$J$161:$J$170),0)</f>
        <v>12</v>
      </c>
      <c r="K171" s="67"/>
      <c r="L171" s="123">
        <f>F171+H171+J171</f>
        <v>3316</v>
      </c>
      <c r="M171" s="69"/>
    </row>
    <row r="172" spans="1:17" ht="16.5" customHeight="1">
      <c r="A172" s="88" t="s">
        <v>608</v>
      </c>
      <c r="B172" s="88" t="s">
        <v>602</v>
      </c>
      <c r="C172" s="39" t="s">
        <v>58</v>
      </c>
      <c r="D172" s="90"/>
      <c r="E172" s="90"/>
      <c r="F172" s="90"/>
      <c r="G172" s="90"/>
      <c r="H172" s="90"/>
      <c r="I172" s="90"/>
      <c r="J172" s="90"/>
      <c r="K172" s="90"/>
      <c r="L172" s="90"/>
      <c r="M172" s="71" t="s">
        <v>607</v>
      </c>
    </row>
    <row r="173" spans="1:17" ht="16.5" customHeight="1">
      <c r="A173" s="88" t="s">
        <v>268</v>
      </c>
      <c r="B173" s="88" t="s">
        <v>269</v>
      </c>
      <c r="C173" s="39" t="s">
        <v>58</v>
      </c>
      <c r="D173" s="90">
        <v>1.84E-2</v>
      </c>
      <c r="E173" s="90">
        <f>ROUNDDOWN(자재단가대비표!N80,0)</f>
        <v>3150</v>
      </c>
      <c r="F173" s="90">
        <f>ROUNDDOWN(D173*E173,1)</f>
        <v>57.9</v>
      </c>
      <c r="G173" s="90"/>
      <c r="H173" s="90"/>
      <c r="I173" s="90"/>
      <c r="J173" s="90"/>
      <c r="K173" s="90">
        <f t="shared" ref="K173:K182" si="20">E173+G173+I173</f>
        <v>3150</v>
      </c>
      <c r="L173" s="90">
        <f t="shared" ref="L173:L182" si="21">F173+H173+J173</f>
        <v>57.9</v>
      </c>
      <c r="M173" s="70"/>
      <c r="O173" s="31" t="s">
        <v>457</v>
      </c>
      <c r="P173" s="31" t="s">
        <v>452</v>
      </c>
      <c r="Q173" s="27">
        <v>1</v>
      </c>
    </row>
    <row r="174" spans="1:17" ht="16.5" customHeight="1">
      <c r="A174" s="88" t="s">
        <v>151</v>
      </c>
      <c r="B174" s="88" t="s">
        <v>152</v>
      </c>
      <c r="C174" s="39" t="s">
        <v>72</v>
      </c>
      <c r="D174" s="90">
        <v>6.3</v>
      </c>
      <c r="E174" s="90">
        <f>ROUNDDOWN(자재단가대비표!N43,0)</f>
        <v>2</v>
      </c>
      <c r="F174" s="90">
        <f>ROUNDDOWN(D174*E174,1)</f>
        <v>12.6</v>
      </c>
      <c r="G174" s="90"/>
      <c r="H174" s="90"/>
      <c r="I174" s="90"/>
      <c r="J174" s="90"/>
      <c r="K174" s="90">
        <f t="shared" si="20"/>
        <v>2</v>
      </c>
      <c r="L174" s="90">
        <f t="shared" si="21"/>
        <v>12.6</v>
      </c>
      <c r="M174" s="70"/>
      <c r="O174" s="31" t="s">
        <v>457</v>
      </c>
      <c r="P174" s="31" t="s">
        <v>452</v>
      </c>
      <c r="Q174" s="27">
        <v>1</v>
      </c>
    </row>
    <row r="175" spans="1:17" ht="16.5" customHeight="1">
      <c r="A175" s="88" t="s">
        <v>240</v>
      </c>
      <c r="B175" s="88" t="s">
        <v>19</v>
      </c>
      <c r="C175" s="39" t="s">
        <v>58</v>
      </c>
      <c r="D175" s="90">
        <v>2.8E-3</v>
      </c>
      <c r="E175" s="90">
        <f>ROUNDDOWN(자재단가대비표!N71,0)</f>
        <v>9500</v>
      </c>
      <c r="F175" s="90">
        <f>ROUNDDOWN(D175*E175,1)</f>
        <v>26.6</v>
      </c>
      <c r="G175" s="90"/>
      <c r="H175" s="90"/>
      <c r="I175" s="90"/>
      <c r="J175" s="90"/>
      <c r="K175" s="90">
        <f t="shared" si="20"/>
        <v>9500</v>
      </c>
      <c r="L175" s="90">
        <f t="shared" si="21"/>
        <v>26.6</v>
      </c>
      <c r="M175" s="71" t="s">
        <v>241</v>
      </c>
      <c r="O175" s="31" t="s">
        <v>457</v>
      </c>
      <c r="P175" s="31" t="s">
        <v>452</v>
      </c>
      <c r="Q175" s="27">
        <v>1</v>
      </c>
    </row>
    <row r="176" spans="1:17" ht="16.5" customHeight="1">
      <c r="A176" s="88" t="s">
        <v>538</v>
      </c>
      <c r="B176" s="34" t="str">
        <f>"노무비의 "&amp;N176*100&amp;"%"</f>
        <v>노무비의 3%</v>
      </c>
      <c r="C176" s="39" t="s">
        <v>459</v>
      </c>
      <c r="D176" s="94" t="s">
        <v>460</v>
      </c>
      <c r="E176" s="90">
        <f>SUMIF($O$172:O182, "02", $H$172:H182)</f>
        <v>3012.8999999999996</v>
      </c>
      <c r="F176" s="90">
        <f>ROUNDDOWN(E176*N176,1)</f>
        <v>90.3</v>
      </c>
      <c r="G176" s="90"/>
      <c r="H176" s="90"/>
      <c r="I176" s="90"/>
      <c r="J176" s="90"/>
      <c r="K176" s="90">
        <f t="shared" si="20"/>
        <v>3012.8999999999996</v>
      </c>
      <c r="L176" s="90">
        <f t="shared" si="21"/>
        <v>90.3</v>
      </c>
      <c r="M176" s="71" t="s">
        <v>539</v>
      </c>
      <c r="N176" s="32">
        <v>0.03</v>
      </c>
      <c r="P176" s="31" t="s">
        <v>452</v>
      </c>
      <c r="Q176" s="27">
        <v>1</v>
      </c>
    </row>
    <row r="177" spans="1:17" ht="16.5" customHeight="1">
      <c r="A177" s="88" t="s">
        <v>360</v>
      </c>
      <c r="B177" s="88" t="s">
        <v>19</v>
      </c>
      <c r="C177" s="39" t="s">
        <v>339</v>
      </c>
      <c r="D177" s="90">
        <v>1.9300000000000001E-2</v>
      </c>
      <c r="E177" s="90"/>
      <c r="F177" s="90"/>
      <c r="G177" s="90">
        <f>ROUNDDOWN(자재단가대비표!N126,0)</f>
        <v>138946</v>
      </c>
      <c r="H177" s="90">
        <f>ROUNDDOWN(D177*G177,1)</f>
        <v>2681.6</v>
      </c>
      <c r="I177" s="90"/>
      <c r="J177" s="90"/>
      <c r="K177" s="90">
        <f t="shared" si="20"/>
        <v>138946</v>
      </c>
      <c r="L177" s="90">
        <f t="shared" si="21"/>
        <v>2681.6</v>
      </c>
      <c r="M177" s="70"/>
      <c r="O177" s="31" t="s">
        <v>462</v>
      </c>
      <c r="P177" s="31" t="s">
        <v>452</v>
      </c>
      <c r="Q177" s="27">
        <v>1</v>
      </c>
    </row>
    <row r="178" spans="1:17" ht="16.5" customHeight="1">
      <c r="A178" s="88" t="s">
        <v>352</v>
      </c>
      <c r="B178" s="88" t="s">
        <v>19</v>
      </c>
      <c r="C178" s="39" t="s">
        <v>339</v>
      </c>
      <c r="D178" s="90">
        <v>4.0000000000000002E-4</v>
      </c>
      <c r="E178" s="90"/>
      <c r="F178" s="90"/>
      <c r="G178" s="90">
        <f>ROUNDDOWN(자재단가대비표!N119,0)</f>
        <v>87805</v>
      </c>
      <c r="H178" s="90">
        <f>ROUNDDOWN(D178*G178,1)</f>
        <v>35.1</v>
      </c>
      <c r="I178" s="90"/>
      <c r="J178" s="90"/>
      <c r="K178" s="90">
        <f t="shared" si="20"/>
        <v>87805</v>
      </c>
      <c r="L178" s="90">
        <f t="shared" si="21"/>
        <v>35.1</v>
      </c>
      <c r="M178" s="70"/>
      <c r="O178" s="31" t="s">
        <v>462</v>
      </c>
      <c r="P178" s="31" t="s">
        <v>452</v>
      </c>
      <c r="Q178" s="27">
        <v>1</v>
      </c>
    </row>
    <row r="179" spans="1:17" ht="16.5" customHeight="1">
      <c r="A179" s="88" t="s">
        <v>353</v>
      </c>
      <c r="B179" s="88" t="s">
        <v>19</v>
      </c>
      <c r="C179" s="39" t="s">
        <v>339</v>
      </c>
      <c r="D179" s="90">
        <v>1.8E-3</v>
      </c>
      <c r="E179" s="90"/>
      <c r="F179" s="90"/>
      <c r="G179" s="90">
        <f>ROUNDDOWN(자재단가대비표!N120,0)</f>
        <v>134516</v>
      </c>
      <c r="H179" s="90">
        <f>ROUNDDOWN(D179*G179,1)</f>
        <v>242.1</v>
      </c>
      <c r="I179" s="90"/>
      <c r="J179" s="90"/>
      <c r="K179" s="90">
        <f t="shared" si="20"/>
        <v>134516</v>
      </c>
      <c r="L179" s="90">
        <f t="shared" si="21"/>
        <v>242.1</v>
      </c>
      <c r="M179" s="71" t="s">
        <v>354</v>
      </c>
      <c r="O179" s="31" t="s">
        <v>462</v>
      </c>
      <c r="P179" s="31" t="s">
        <v>452</v>
      </c>
      <c r="Q179" s="27">
        <v>1</v>
      </c>
    </row>
    <row r="180" spans="1:17" ht="16.5" customHeight="1">
      <c r="A180" s="88" t="s">
        <v>363</v>
      </c>
      <c r="B180" s="88" t="s">
        <v>19</v>
      </c>
      <c r="C180" s="39" t="s">
        <v>339</v>
      </c>
      <c r="D180" s="90">
        <v>5.0000000000000001E-4</v>
      </c>
      <c r="E180" s="90"/>
      <c r="F180" s="90"/>
      <c r="G180" s="90">
        <f>ROUNDDOWN(자재단가대비표!N129,0)</f>
        <v>108245</v>
      </c>
      <c r="H180" s="90">
        <f>ROUNDDOWN(D180*G180,1)</f>
        <v>54.1</v>
      </c>
      <c r="I180" s="90"/>
      <c r="J180" s="90"/>
      <c r="K180" s="90">
        <f t="shared" si="20"/>
        <v>108245</v>
      </c>
      <c r="L180" s="90">
        <f t="shared" si="21"/>
        <v>54.1</v>
      </c>
      <c r="M180" s="70"/>
      <c r="O180" s="31" t="s">
        <v>462</v>
      </c>
      <c r="P180" s="31" t="s">
        <v>452</v>
      </c>
      <c r="Q180" s="27">
        <v>1</v>
      </c>
    </row>
    <row r="181" spans="1:17" ht="16.5" customHeight="1">
      <c r="A181" s="88" t="s">
        <v>369</v>
      </c>
      <c r="B181" s="88" t="s">
        <v>370</v>
      </c>
      <c r="C181" s="39" t="s">
        <v>448</v>
      </c>
      <c r="D181" s="90">
        <v>2.0830000000000001E-2</v>
      </c>
      <c r="E181" s="90"/>
      <c r="F181" s="90"/>
      <c r="G181" s="90"/>
      <c r="H181" s="90"/>
      <c r="I181" s="90">
        <f>ROUNDDOWN(중기경비!J9,0)</f>
        <v>124</v>
      </c>
      <c r="J181" s="90">
        <f>ROUNDDOWN(D181*I181,1)</f>
        <v>2.5</v>
      </c>
      <c r="K181" s="90">
        <f t="shared" si="20"/>
        <v>124</v>
      </c>
      <c r="L181" s="90">
        <f t="shared" si="21"/>
        <v>2.5</v>
      </c>
      <c r="M181" s="71" t="s">
        <v>471</v>
      </c>
      <c r="P181" s="31" t="s">
        <v>452</v>
      </c>
      <c r="Q181" s="27">
        <v>1</v>
      </c>
    </row>
    <row r="182" spans="1:17" ht="16.5" customHeight="1">
      <c r="A182" s="88" t="s">
        <v>371</v>
      </c>
      <c r="B182" s="88" t="s">
        <v>19</v>
      </c>
      <c r="C182" s="39" t="s">
        <v>372</v>
      </c>
      <c r="D182" s="90">
        <v>0.126</v>
      </c>
      <c r="E182" s="90"/>
      <c r="F182" s="90"/>
      <c r="G182" s="90"/>
      <c r="H182" s="90"/>
      <c r="I182" s="90">
        <f>ROUNDDOWN(자재단가대비표!N133,2)</f>
        <v>83</v>
      </c>
      <c r="J182" s="90">
        <f>ROUNDDOWN(D182*I182,1)</f>
        <v>10.4</v>
      </c>
      <c r="K182" s="90">
        <f t="shared" si="20"/>
        <v>83</v>
      </c>
      <c r="L182" s="90">
        <f t="shared" si="21"/>
        <v>10.4</v>
      </c>
      <c r="M182" s="70"/>
      <c r="O182" s="31" t="s">
        <v>457</v>
      </c>
      <c r="P182" s="31" t="s">
        <v>452</v>
      </c>
      <c r="Q182" s="27">
        <v>1</v>
      </c>
    </row>
    <row r="183" spans="1:17" ht="16.5" customHeight="1">
      <c r="A183" s="116" t="s">
        <v>419</v>
      </c>
      <c r="B183" s="65"/>
      <c r="C183" s="66"/>
      <c r="D183" s="67"/>
      <c r="E183" s="67"/>
      <c r="F183" s="123">
        <f>ROUNDDOWN(SUMIF($Q$173:$Q$182, 1,$F$173:$F$182),0)</f>
        <v>187</v>
      </c>
      <c r="G183" s="67"/>
      <c r="H183" s="123">
        <f>ROUNDDOWN(SUMIF($Q$173:$Q$182, 1,$H$173:$H$182),0)</f>
        <v>3012</v>
      </c>
      <c r="I183" s="67"/>
      <c r="J183" s="123">
        <f>ROUNDDOWN(SUMIF($Q$173:$Q$182, 1,$J$173:$J$182),0)</f>
        <v>12</v>
      </c>
      <c r="K183" s="67"/>
      <c r="L183" s="123">
        <f>F183+H183+J183</f>
        <v>3211</v>
      </c>
      <c r="M183" s="69"/>
    </row>
    <row r="184" spans="1:17" ht="16.5" customHeight="1">
      <c r="A184" s="88" t="s">
        <v>609</v>
      </c>
      <c r="B184" s="88" t="s">
        <v>610</v>
      </c>
      <c r="C184" s="39" t="s">
        <v>26</v>
      </c>
      <c r="D184" s="90"/>
      <c r="E184" s="90"/>
      <c r="F184" s="90"/>
      <c r="G184" s="90"/>
      <c r="H184" s="90"/>
      <c r="I184" s="90"/>
      <c r="J184" s="90"/>
      <c r="K184" s="90"/>
      <c r="L184" s="90"/>
      <c r="M184" s="71" t="s">
        <v>611</v>
      </c>
    </row>
    <row r="185" spans="1:17" ht="16.5" customHeight="1">
      <c r="A185" s="88" t="s">
        <v>356</v>
      </c>
      <c r="B185" s="88" t="s">
        <v>19</v>
      </c>
      <c r="C185" s="39" t="s">
        <v>339</v>
      </c>
      <c r="D185" s="90">
        <v>6.4399999999999999E-2</v>
      </c>
      <c r="E185" s="90"/>
      <c r="F185" s="90"/>
      <c r="G185" s="90">
        <f>ROUNDDOWN(자재단가대비표!N122,0)</f>
        <v>123257</v>
      </c>
      <c r="H185" s="90">
        <f>ROUNDDOWN(D185*G185,1)</f>
        <v>7937.7</v>
      </c>
      <c r="I185" s="90"/>
      <c r="J185" s="90"/>
      <c r="K185" s="90">
        <f>E185+G185+I185</f>
        <v>123257</v>
      </c>
      <c r="L185" s="90">
        <f>F185+H185+J185</f>
        <v>7937.7</v>
      </c>
      <c r="M185" s="70"/>
      <c r="O185" s="31" t="s">
        <v>462</v>
      </c>
      <c r="P185" s="31" t="s">
        <v>452</v>
      </c>
      <c r="Q185" s="27">
        <v>1</v>
      </c>
    </row>
    <row r="186" spans="1:17" ht="16.5" customHeight="1">
      <c r="A186" s="116" t="s">
        <v>419</v>
      </c>
      <c r="B186" s="65"/>
      <c r="C186" s="66"/>
      <c r="D186" s="67"/>
      <c r="E186" s="67"/>
      <c r="F186" s="123">
        <f>ROUNDDOWN(SUMIF($Q$185:$Q$185, 1,$F$185:$F$185),0)</f>
        <v>0</v>
      </c>
      <c r="G186" s="67"/>
      <c r="H186" s="123">
        <f>ROUNDDOWN(SUMIF($Q$185:$Q$185, 1,$H$185:$H$185),0)</f>
        <v>7937</v>
      </c>
      <c r="I186" s="67"/>
      <c r="J186" s="123">
        <f>ROUNDDOWN(SUMIF($Q$185:$Q$185, 1,$J$185:$J$185),0)</f>
        <v>0</v>
      </c>
      <c r="K186" s="67"/>
      <c r="L186" s="123">
        <f>F186+H186+J186</f>
        <v>7937</v>
      </c>
      <c r="M186" s="69"/>
    </row>
    <row r="187" spans="1:17" ht="16.5" customHeight="1">
      <c r="A187" s="88" t="s">
        <v>612</v>
      </c>
      <c r="B187" s="88" t="s">
        <v>613</v>
      </c>
      <c r="C187" s="39" t="s">
        <v>34</v>
      </c>
      <c r="D187" s="90"/>
      <c r="E187" s="90"/>
      <c r="F187" s="90"/>
      <c r="G187" s="90"/>
      <c r="H187" s="90"/>
      <c r="I187" s="90"/>
      <c r="J187" s="90"/>
      <c r="K187" s="90"/>
      <c r="L187" s="90"/>
      <c r="M187" s="71" t="s">
        <v>611</v>
      </c>
    </row>
    <row r="188" spans="1:17" ht="16.5" customHeight="1">
      <c r="A188" s="88" t="s">
        <v>230</v>
      </c>
      <c r="B188" s="88" t="s">
        <v>231</v>
      </c>
      <c r="C188" s="39" t="s">
        <v>72</v>
      </c>
      <c r="D188" s="90">
        <v>0.03</v>
      </c>
      <c r="E188" s="90">
        <f>ROUNDDOWN(자재단가대비표!N67,0)</f>
        <v>9310</v>
      </c>
      <c r="F188" s="90">
        <f>ROUNDDOWN(D188*E188,1)</f>
        <v>279.3</v>
      </c>
      <c r="G188" s="90"/>
      <c r="H188" s="90"/>
      <c r="I188" s="90"/>
      <c r="J188" s="90"/>
      <c r="K188" s="90">
        <f>E188+G188+I188</f>
        <v>9310</v>
      </c>
      <c r="L188" s="90">
        <f>F188+H188+J188</f>
        <v>279.3</v>
      </c>
      <c r="M188" s="70"/>
      <c r="O188" s="31" t="s">
        <v>457</v>
      </c>
      <c r="P188" s="31" t="s">
        <v>452</v>
      </c>
      <c r="Q188" s="27">
        <v>1</v>
      </c>
    </row>
    <row r="189" spans="1:17" ht="16.5" customHeight="1">
      <c r="A189" s="116" t="s">
        <v>419</v>
      </c>
      <c r="B189" s="65"/>
      <c r="C189" s="66"/>
      <c r="D189" s="67"/>
      <c r="E189" s="67"/>
      <c r="F189" s="123">
        <f>ROUNDDOWN(SUMIF($Q$188:$Q$188, 1,$F$188:$F$188),0)</f>
        <v>279</v>
      </c>
      <c r="G189" s="67"/>
      <c r="H189" s="123">
        <f>ROUNDDOWN(SUMIF($Q$188:$Q$188, 1,$H$188:$H$188),0)</f>
        <v>0</v>
      </c>
      <c r="I189" s="67"/>
      <c r="J189" s="123">
        <f>ROUNDDOWN(SUMIF($Q$188:$Q$188, 1,$J$188:$J$188),0)</f>
        <v>0</v>
      </c>
      <c r="K189" s="67"/>
      <c r="L189" s="123">
        <f>F189+H189+J189</f>
        <v>279</v>
      </c>
      <c r="M189" s="69"/>
    </row>
    <row r="190" spans="1:17" ht="16.5" customHeight="1">
      <c r="A190" s="88" t="s">
        <v>614</v>
      </c>
      <c r="B190" s="88" t="s">
        <v>615</v>
      </c>
      <c r="C190" s="39" t="s">
        <v>26</v>
      </c>
      <c r="D190" s="90"/>
      <c r="E190" s="90"/>
      <c r="F190" s="90"/>
      <c r="G190" s="90"/>
      <c r="H190" s="90"/>
      <c r="I190" s="90"/>
      <c r="J190" s="90"/>
      <c r="K190" s="90"/>
      <c r="L190" s="90"/>
      <c r="M190" s="71" t="s">
        <v>616</v>
      </c>
    </row>
    <row r="191" spans="1:17" ht="16.5" customHeight="1">
      <c r="A191" s="88" t="s">
        <v>94</v>
      </c>
      <c r="B191" s="88" t="s">
        <v>95</v>
      </c>
      <c r="C191" s="39" t="s">
        <v>26</v>
      </c>
      <c r="D191" s="90">
        <v>1.05</v>
      </c>
      <c r="E191" s="90">
        <f>ROUNDDOWN(자재단가대비표!N27,0)</f>
        <v>8400</v>
      </c>
      <c r="F191" s="90">
        <f>ROUNDDOWN(D191*E191,1)</f>
        <v>8820</v>
      </c>
      <c r="G191" s="90"/>
      <c r="H191" s="90"/>
      <c r="I191" s="90"/>
      <c r="J191" s="90"/>
      <c r="K191" s="90">
        <f t="shared" ref="K191:L194" si="22">E191+G191+I191</f>
        <v>8400</v>
      </c>
      <c r="L191" s="90">
        <f t="shared" si="22"/>
        <v>8820</v>
      </c>
      <c r="M191" s="70"/>
      <c r="O191" s="31" t="s">
        <v>457</v>
      </c>
      <c r="P191" s="31" t="s">
        <v>452</v>
      </c>
      <c r="Q191" s="27">
        <v>1</v>
      </c>
    </row>
    <row r="192" spans="1:17" ht="16.5" customHeight="1">
      <c r="A192" s="88" t="s">
        <v>56</v>
      </c>
      <c r="B192" s="88" t="s">
        <v>57</v>
      </c>
      <c r="C192" s="39" t="s">
        <v>58</v>
      </c>
      <c r="D192" s="90">
        <v>3.5000000000000003E-2</v>
      </c>
      <c r="E192" s="90">
        <f>ROUNDDOWN(자재단가대비표!N19,0)</f>
        <v>1100</v>
      </c>
      <c r="F192" s="90">
        <f>ROUNDDOWN(D192*E192,1)</f>
        <v>38.5</v>
      </c>
      <c r="G192" s="90"/>
      <c r="H192" s="90"/>
      <c r="I192" s="90"/>
      <c r="J192" s="90"/>
      <c r="K192" s="90">
        <f t="shared" si="22"/>
        <v>1100</v>
      </c>
      <c r="L192" s="90">
        <f t="shared" si="22"/>
        <v>38.5</v>
      </c>
      <c r="M192" s="70"/>
      <c r="O192" s="31" t="s">
        <v>457</v>
      </c>
      <c r="P192" s="31" t="s">
        <v>452</v>
      </c>
      <c r="Q192" s="27">
        <v>1</v>
      </c>
    </row>
    <row r="193" spans="1:17" ht="16.5" customHeight="1">
      <c r="A193" s="88" t="s">
        <v>341</v>
      </c>
      <c r="B193" s="88" t="s">
        <v>19</v>
      </c>
      <c r="C193" s="39" t="s">
        <v>339</v>
      </c>
      <c r="D193" s="90">
        <v>3.5000000000000003E-2</v>
      </c>
      <c r="E193" s="90"/>
      <c r="F193" s="90"/>
      <c r="G193" s="90">
        <f>ROUNDDOWN(자재단가대비표!N109,0)</f>
        <v>139327</v>
      </c>
      <c r="H193" s="90">
        <f>ROUNDDOWN(D193*G193,1)</f>
        <v>4876.3999999999996</v>
      </c>
      <c r="I193" s="90"/>
      <c r="J193" s="90"/>
      <c r="K193" s="90">
        <f t="shared" si="22"/>
        <v>139327</v>
      </c>
      <c r="L193" s="90">
        <f t="shared" si="22"/>
        <v>4876.3999999999996</v>
      </c>
      <c r="M193" s="70"/>
      <c r="O193" s="31" t="s">
        <v>462</v>
      </c>
      <c r="P193" s="31" t="s">
        <v>452</v>
      </c>
      <c r="Q193" s="27">
        <v>1</v>
      </c>
    </row>
    <row r="194" spans="1:17" ht="16.5" customHeight="1">
      <c r="A194" s="88" t="s">
        <v>352</v>
      </c>
      <c r="B194" s="88" t="s">
        <v>19</v>
      </c>
      <c r="C194" s="39" t="s">
        <v>339</v>
      </c>
      <c r="D194" s="90">
        <v>3.5000000000000003E-2</v>
      </c>
      <c r="E194" s="90"/>
      <c r="F194" s="90"/>
      <c r="G194" s="90">
        <f>ROUNDDOWN(자재단가대비표!N119,0)</f>
        <v>87805</v>
      </c>
      <c r="H194" s="90">
        <f>ROUNDDOWN(D194*G194,1)</f>
        <v>3073.1</v>
      </c>
      <c r="I194" s="90"/>
      <c r="J194" s="90"/>
      <c r="K194" s="90">
        <f t="shared" si="22"/>
        <v>87805</v>
      </c>
      <c r="L194" s="90">
        <f t="shared" si="22"/>
        <v>3073.1</v>
      </c>
      <c r="M194" s="70"/>
      <c r="O194" s="31" t="s">
        <v>462</v>
      </c>
      <c r="P194" s="31" t="s">
        <v>452</v>
      </c>
      <c r="Q194" s="27">
        <v>1</v>
      </c>
    </row>
    <row r="195" spans="1:17" ht="16.5" customHeight="1">
      <c r="A195" s="116" t="s">
        <v>419</v>
      </c>
      <c r="B195" s="65"/>
      <c r="C195" s="66"/>
      <c r="D195" s="67"/>
      <c r="E195" s="67"/>
      <c r="F195" s="123">
        <f>ROUNDDOWN(SUMIF($Q$191:$Q$194, 1,$F$191:$F$194),0)</f>
        <v>8858</v>
      </c>
      <c r="G195" s="67"/>
      <c r="H195" s="123">
        <f>ROUNDDOWN(SUMIF($Q$191:$Q$194, 1,$H$191:$H$194),0)</f>
        <v>7949</v>
      </c>
      <c r="I195" s="67"/>
      <c r="J195" s="123">
        <f>ROUNDDOWN(SUMIF($Q$191:$Q$194, 1,$J$191:$J$194),0)</f>
        <v>0</v>
      </c>
      <c r="K195" s="67"/>
      <c r="L195" s="123">
        <f>F195+H195+J195</f>
        <v>16807</v>
      </c>
      <c r="M195" s="69"/>
    </row>
    <row r="196" spans="1:17" ht="16.5" customHeight="1">
      <c r="A196" s="88" t="s">
        <v>617</v>
      </c>
      <c r="B196" s="88" t="s">
        <v>618</v>
      </c>
      <c r="C196" s="39" t="s">
        <v>26</v>
      </c>
      <c r="D196" s="90"/>
      <c r="E196" s="90"/>
      <c r="F196" s="90"/>
      <c r="G196" s="90"/>
      <c r="H196" s="90"/>
      <c r="I196" s="90"/>
      <c r="J196" s="90"/>
      <c r="K196" s="90"/>
      <c r="L196" s="90"/>
      <c r="M196" s="71" t="s">
        <v>619</v>
      </c>
    </row>
    <row r="197" spans="1:17" ht="16.5" customHeight="1">
      <c r="A197" s="88" t="s">
        <v>64</v>
      </c>
      <c r="B197" s="88" t="s">
        <v>65</v>
      </c>
      <c r="C197" s="39" t="s">
        <v>66</v>
      </c>
      <c r="D197" s="90">
        <v>1.32</v>
      </c>
      <c r="E197" s="90">
        <f>ROUNDDOWN(자재단가대비표!N21,0)</f>
        <v>1400</v>
      </c>
      <c r="F197" s="90">
        <f>ROUNDDOWN(D197*E197,1)</f>
        <v>1848</v>
      </c>
      <c r="G197" s="90"/>
      <c r="H197" s="90"/>
      <c r="I197" s="90"/>
      <c r="J197" s="90"/>
      <c r="K197" s="90">
        <f t="shared" ref="K197:L199" si="23">E197+G197+I197</f>
        <v>1400</v>
      </c>
      <c r="L197" s="90">
        <f t="shared" si="23"/>
        <v>1848</v>
      </c>
      <c r="M197" s="70"/>
      <c r="O197" s="31" t="s">
        <v>457</v>
      </c>
      <c r="P197" s="31" t="s">
        <v>452</v>
      </c>
      <c r="Q197" s="27">
        <v>1</v>
      </c>
    </row>
    <row r="198" spans="1:17" ht="16.5" customHeight="1">
      <c r="A198" s="88" t="s">
        <v>309</v>
      </c>
      <c r="B198" s="88" t="s">
        <v>310</v>
      </c>
      <c r="C198" s="39" t="s">
        <v>58</v>
      </c>
      <c r="D198" s="90">
        <v>0.03</v>
      </c>
      <c r="E198" s="90">
        <f>ROUNDDOWN(자재단가대비표!N94,1)</f>
        <v>850</v>
      </c>
      <c r="F198" s="90">
        <f>ROUNDDOWN(D198*E198,1)</f>
        <v>25.5</v>
      </c>
      <c r="G198" s="90"/>
      <c r="H198" s="90"/>
      <c r="I198" s="90"/>
      <c r="J198" s="90"/>
      <c r="K198" s="90">
        <f t="shared" si="23"/>
        <v>850</v>
      </c>
      <c r="L198" s="90">
        <f t="shared" si="23"/>
        <v>25.5</v>
      </c>
      <c r="M198" s="70"/>
      <c r="O198" s="31" t="s">
        <v>457</v>
      </c>
      <c r="P198" s="31" t="s">
        <v>452</v>
      </c>
      <c r="Q198" s="27">
        <v>1</v>
      </c>
    </row>
    <row r="199" spans="1:17" ht="16.5" customHeight="1">
      <c r="A199" s="88" t="s">
        <v>341</v>
      </c>
      <c r="B199" s="88" t="s">
        <v>19</v>
      </c>
      <c r="C199" s="39" t="s">
        <v>339</v>
      </c>
      <c r="D199" s="90">
        <v>2.3100000000000002E-2</v>
      </c>
      <c r="E199" s="90"/>
      <c r="F199" s="90"/>
      <c r="G199" s="90">
        <f>ROUNDDOWN(자재단가대비표!N109,0)</f>
        <v>139327</v>
      </c>
      <c r="H199" s="90">
        <f>ROUNDDOWN(D199*G199,1)</f>
        <v>3218.4</v>
      </c>
      <c r="I199" s="90"/>
      <c r="J199" s="90"/>
      <c r="K199" s="90">
        <f t="shared" si="23"/>
        <v>139327</v>
      </c>
      <c r="L199" s="90">
        <f t="shared" si="23"/>
        <v>3218.4</v>
      </c>
      <c r="M199" s="70"/>
      <c r="O199" s="31" t="s">
        <v>462</v>
      </c>
      <c r="P199" s="31" t="s">
        <v>452</v>
      </c>
      <c r="Q199" s="27">
        <v>1</v>
      </c>
    </row>
    <row r="200" spans="1:17" ht="16.5" customHeight="1">
      <c r="A200" s="116" t="s">
        <v>419</v>
      </c>
      <c r="B200" s="65"/>
      <c r="C200" s="66"/>
      <c r="D200" s="67"/>
      <c r="E200" s="67"/>
      <c r="F200" s="123">
        <f>ROUNDDOWN(SUMIF($Q$197:$Q$199, 1,$F$197:$F$199),0)</f>
        <v>1873</v>
      </c>
      <c r="G200" s="67"/>
      <c r="H200" s="123">
        <f>ROUNDDOWN(SUMIF($Q$197:$Q$199, 1,$H$197:$H$199),0)</f>
        <v>3218</v>
      </c>
      <c r="I200" s="67"/>
      <c r="J200" s="123">
        <f>ROUNDDOWN(SUMIF($Q$197:$Q$199, 1,$J$197:$J$199),0)</f>
        <v>0</v>
      </c>
      <c r="K200" s="67"/>
      <c r="L200" s="123">
        <f>F200+H200+J200</f>
        <v>5091</v>
      </c>
      <c r="M200" s="69"/>
    </row>
    <row r="201" spans="1:17" ht="16.5" customHeight="1">
      <c r="A201" s="88" t="s">
        <v>620</v>
      </c>
      <c r="B201" s="88" t="s">
        <v>37</v>
      </c>
      <c r="C201" s="39" t="s">
        <v>26</v>
      </c>
      <c r="D201" s="90"/>
      <c r="E201" s="90"/>
      <c r="F201" s="90"/>
      <c r="G201" s="90"/>
      <c r="H201" s="90"/>
      <c r="I201" s="90"/>
      <c r="J201" s="90"/>
      <c r="K201" s="90"/>
      <c r="L201" s="90"/>
      <c r="M201" s="71" t="s">
        <v>19</v>
      </c>
    </row>
    <row r="202" spans="1:17" ht="16.5" customHeight="1">
      <c r="A202" s="88" t="s">
        <v>36</v>
      </c>
      <c r="B202" s="88" t="s">
        <v>37</v>
      </c>
      <c r="C202" s="39" t="s">
        <v>34</v>
      </c>
      <c r="D202" s="90">
        <v>2.33</v>
      </c>
      <c r="E202" s="90">
        <f>ROUNDDOWN(자재단가대비표!N13,0)</f>
        <v>3140</v>
      </c>
      <c r="F202" s="90">
        <f t="shared" ref="F202:F207" si="24">ROUNDDOWN(D202*E202,1)</f>
        <v>7316.2</v>
      </c>
      <c r="G202" s="90"/>
      <c r="H202" s="90"/>
      <c r="I202" s="90"/>
      <c r="J202" s="90"/>
      <c r="K202" s="90">
        <f t="shared" ref="K202:K210" si="25">E202+G202+I202</f>
        <v>3140</v>
      </c>
      <c r="L202" s="90">
        <f t="shared" ref="L202:L210" si="26">F202+H202+J202</f>
        <v>7316.2</v>
      </c>
      <c r="M202" s="70"/>
      <c r="O202" s="31" t="s">
        <v>457</v>
      </c>
      <c r="P202" s="31" t="s">
        <v>452</v>
      </c>
      <c r="Q202" s="27">
        <v>1</v>
      </c>
    </row>
    <row r="203" spans="1:17" ht="16.5" customHeight="1">
      <c r="A203" s="88" t="s">
        <v>32</v>
      </c>
      <c r="B203" s="88" t="s">
        <v>33</v>
      </c>
      <c r="C203" s="39" t="s">
        <v>34</v>
      </c>
      <c r="D203" s="90">
        <v>0.68</v>
      </c>
      <c r="E203" s="90">
        <f>ROUNDDOWN(자재단가대비표!N12,0)</f>
        <v>2670</v>
      </c>
      <c r="F203" s="90">
        <f t="shared" si="24"/>
        <v>1815.6</v>
      </c>
      <c r="G203" s="90"/>
      <c r="H203" s="90"/>
      <c r="I203" s="90"/>
      <c r="J203" s="90"/>
      <c r="K203" s="90">
        <f t="shared" si="25"/>
        <v>2670</v>
      </c>
      <c r="L203" s="90">
        <f t="shared" si="26"/>
        <v>1815.6</v>
      </c>
      <c r="M203" s="70"/>
      <c r="O203" s="31" t="s">
        <v>457</v>
      </c>
      <c r="P203" s="31" t="s">
        <v>452</v>
      </c>
      <c r="Q203" s="27">
        <v>1</v>
      </c>
    </row>
    <row r="204" spans="1:17" ht="16.5" customHeight="1">
      <c r="A204" s="88" t="s">
        <v>621</v>
      </c>
      <c r="B204" s="88" t="s">
        <v>622</v>
      </c>
      <c r="C204" s="39" t="s">
        <v>17</v>
      </c>
      <c r="D204" s="90">
        <v>24</v>
      </c>
      <c r="E204" s="90">
        <v>83</v>
      </c>
      <c r="F204" s="90">
        <f t="shared" si="24"/>
        <v>1992</v>
      </c>
      <c r="G204" s="90"/>
      <c r="H204" s="90"/>
      <c r="I204" s="90"/>
      <c r="J204" s="90"/>
      <c r="K204" s="90">
        <f t="shared" si="25"/>
        <v>83</v>
      </c>
      <c r="L204" s="90">
        <f t="shared" si="26"/>
        <v>1992</v>
      </c>
      <c r="M204" s="70"/>
      <c r="O204" s="31" t="s">
        <v>457</v>
      </c>
      <c r="P204" s="31" t="s">
        <v>452</v>
      </c>
      <c r="Q204" s="27">
        <v>1</v>
      </c>
    </row>
    <row r="205" spans="1:17" ht="16.5" customHeight="1">
      <c r="A205" s="88" t="s">
        <v>623</v>
      </c>
      <c r="B205" s="88" t="s">
        <v>624</v>
      </c>
      <c r="C205" s="39" t="s">
        <v>17</v>
      </c>
      <c r="D205" s="90">
        <v>8</v>
      </c>
      <c r="E205" s="90">
        <v>110</v>
      </c>
      <c r="F205" s="90">
        <f t="shared" si="24"/>
        <v>880</v>
      </c>
      <c r="G205" s="90"/>
      <c r="H205" s="90"/>
      <c r="I205" s="90"/>
      <c r="J205" s="90"/>
      <c r="K205" s="90">
        <f t="shared" si="25"/>
        <v>110</v>
      </c>
      <c r="L205" s="90">
        <f t="shared" si="26"/>
        <v>880</v>
      </c>
      <c r="M205" s="70"/>
      <c r="O205" s="31" t="s">
        <v>457</v>
      </c>
      <c r="P205" s="31" t="s">
        <v>452</v>
      </c>
      <c r="Q205" s="27">
        <v>1</v>
      </c>
    </row>
    <row r="206" spans="1:17" ht="16.5" customHeight="1">
      <c r="A206" s="88" t="s">
        <v>625</v>
      </c>
      <c r="B206" s="88" t="s">
        <v>626</v>
      </c>
      <c r="C206" s="39" t="s">
        <v>17</v>
      </c>
      <c r="D206" s="90">
        <v>8</v>
      </c>
      <c r="E206" s="90">
        <v>150</v>
      </c>
      <c r="F206" s="90">
        <f t="shared" si="24"/>
        <v>1200</v>
      </c>
      <c r="G206" s="90"/>
      <c r="H206" s="90"/>
      <c r="I206" s="90"/>
      <c r="J206" s="90"/>
      <c r="K206" s="90">
        <f t="shared" si="25"/>
        <v>150</v>
      </c>
      <c r="L206" s="90">
        <f t="shared" si="26"/>
        <v>1200</v>
      </c>
      <c r="M206" s="70"/>
      <c r="O206" s="31" t="s">
        <v>457</v>
      </c>
      <c r="P206" s="31" t="s">
        <v>452</v>
      </c>
      <c r="Q206" s="27">
        <v>1</v>
      </c>
    </row>
    <row r="207" spans="1:17" ht="16.5" customHeight="1">
      <c r="A207" s="88" t="s">
        <v>268</v>
      </c>
      <c r="B207" s="88" t="s">
        <v>627</v>
      </c>
      <c r="C207" s="39" t="s">
        <v>58</v>
      </c>
      <c r="D207" s="90">
        <v>0.16</v>
      </c>
      <c r="E207" s="90">
        <v>2283</v>
      </c>
      <c r="F207" s="90">
        <f t="shared" si="24"/>
        <v>365.2</v>
      </c>
      <c r="G207" s="90"/>
      <c r="H207" s="90"/>
      <c r="I207" s="90"/>
      <c r="J207" s="90"/>
      <c r="K207" s="90">
        <f t="shared" si="25"/>
        <v>2283</v>
      </c>
      <c r="L207" s="90">
        <f t="shared" si="26"/>
        <v>365.2</v>
      </c>
      <c r="M207" s="70"/>
      <c r="O207" s="31" t="s">
        <v>457</v>
      </c>
      <c r="P207" s="31" t="s">
        <v>452</v>
      </c>
      <c r="Q207" s="27">
        <v>1</v>
      </c>
    </row>
    <row r="208" spans="1:17" ht="16.5" customHeight="1">
      <c r="A208" s="88" t="s">
        <v>363</v>
      </c>
      <c r="B208" s="88" t="s">
        <v>19</v>
      </c>
      <c r="C208" s="39" t="s">
        <v>339</v>
      </c>
      <c r="D208" s="90">
        <v>7.0000000000000007E-2</v>
      </c>
      <c r="E208" s="90"/>
      <c r="F208" s="90"/>
      <c r="G208" s="90">
        <f>ROUNDDOWN(자재단가대비표!N129,0)</f>
        <v>108245</v>
      </c>
      <c r="H208" s="90">
        <f>ROUNDDOWN(D208*G208,1)</f>
        <v>7577.1</v>
      </c>
      <c r="I208" s="90"/>
      <c r="J208" s="90"/>
      <c r="K208" s="90">
        <f t="shared" si="25"/>
        <v>108245</v>
      </c>
      <c r="L208" s="90">
        <f t="shared" si="26"/>
        <v>7577.1</v>
      </c>
      <c r="M208" s="70"/>
      <c r="O208" s="31" t="s">
        <v>457</v>
      </c>
      <c r="P208" s="31" t="s">
        <v>452</v>
      </c>
      <c r="Q208" s="27">
        <v>1</v>
      </c>
    </row>
    <row r="209" spans="1:17" ht="16.5" customHeight="1">
      <c r="A209" s="88" t="s">
        <v>352</v>
      </c>
      <c r="B209" s="88" t="s">
        <v>19</v>
      </c>
      <c r="C209" s="39" t="s">
        <v>339</v>
      </c>
      <c r="D209" s="90">
        <v>3.78E-2</v>
      </c>
      <c r="E209" s="90"/>
      <c r="F209" s="90"/>
      <c r="G209" s="90">
        <f>ROUNDDOWN(자재단가대비표!N119,0)</f>
        <v>87805</v>
      </c>
      <c r="H209" s="90">
        <f>ROUNDDOWN(D209*G209,1)</f>
        <v>3319</v>
      </c>
      <c r="I209" s="90"/>
      <c r="J209" s="90"/>
      <c r="K209" s="90">
        <f t="shared" si="25"/>
        <v>87805</v>
      </c>
      <c r="L209" s="90">
        <f t="shared" si="26"/>
        <v>3319</v>
      </c>
      <c r="M209" s="70"/>
      <c r="O209" s="31" t="s">
        <v>457</v>
      </c>
      <c r="P209" s="31" t="s">
        <v>452</v>
      </c>
      <c r="Q209" s="27">
        <v>1</v>
      </c>
    </row>
    <row r="210" spans="1:17" ht="16.5" customHeight="1">
      <c r="A210" s="88" t="s">
        <v>538</v>
      </c>
      <c r="B210" s="34" t="str">
        <f>"노무비의 "&amp;N210*100&amp;"%"</f>
        <v>노무비의 3%</v>
      </c>
      <c r="C210" s="39" t="s">
        <v>459</v>
      </c>
      <c r="D210" s="94" t="s">
        <v>460</v>
      </c>
      <c r="E210" s="90">
        <f>SUMIF($O$201:O210, "01", $H$201:H210)</f>
        <v>10896.1</v>
      </c>
      <c r="F210" s="90">
        <f>ROUNDDOWN(E210*N210,1)</f>
        <v>326.8</v>
      </c>
      <c r="G210" s="90"/>
      <c r="H210" s="90"/>
      <c r="I210" s="90"/>
      <c r="J210" s="90"/>
      <c r="K210" s="90">
        <f t="shared" si="25"/>
        <v>10896.1</v>
      </c>
      <c r="L210" s="90">
        <f t="shared" si="26"/>
        <v>326.8</v>
      </c>
      <c r="M210" s="71" t="s">
        <v>539</v>
      </c>
      <c r="N210" s="32">
        <v>0.03</v>
      </c>
      <c r="P210" s="31" t="s">
        <v>452</v>
      </c>
      <c r="Q210" s="27">
        <v>1</v>
      </c>
    </row>
    <row r="211" spans="1:17" ht="16.5" customHeight="1">
      <c r="A211" s="116" t="s">
        <v>419</v>
      </c>
      <c r="B211" s="65"/>
      <c r="C211" s="66"/>
      <c r="D211" s="67"/>
      <c r="E211" s="67"/>
      <c r="F211" s="123">
        <f>ROUNDDOWN(SUMIF($Q$202:$Q$210, 1,$F$202:$F$210),0)</f>
        <v>13895</v>
      </c>
      <c r="G211" s="67"/>
      <c r="H211" s="123">
        <f>ROUNDDOWN(SUMIF($Q$202:$Q$210, 1,$H$202:$H$210),0)</f>
        <v>10896</v>
      </c>
      <c r="I211" s="67"/>
      <c r="J211" s="123">
        <f>ROUNDDOWN(SUMIF($Q$202:$Q$210, 1,$J$202:$J$210),0)</f>
        <v>0</v>
      </c>
      <c r="K211" s="67"/>
      <c r="L211" s="123">
        <f>F211+H211+J211</f>
        <v>24791</v>
      </c>
      <c r="M211" s="69"/>
    </row>
    <row r="212" spans="1:17" ht="16.5" customHeight="1">
      <c r="A212" s="88" t="s">
        <v>628</v>
      </c>
      <c r="B212" s="88" t="s">
        <v>629</v>
      </c>
      <c r="C212" s="39" t="s">
        <v>26</v>
      </c>
      <c r="D212" s="90"/>
      <c r="E212" s="90"/>
      <c r="F212" s="90"/>
      <c r="G212" s="90"/>
      <c r="H212" s="90"/>
      <c r="I212" s="90"/>
      <c r="J212" s="90"/>
      <c r="K212" s="90"/>
      <c r="L212" s="90"/>
      <c r="M212" s="71" t="s">
        <v>630</v>
      </c>
    </row>
    <row r="213" spans="1:17" ht="16.5" customHeight="1">
      <c r="A213" s="88" t="s">
        <v>160</v>
      </c>
      <c r="B213" s="88" t="s">
        <v>161</v>
      </c>
      <c r="C213" s="39" t="s">
        <v>26</v>
      </c>
      <c r="D213" s="90">
        <v>1.05</v>
      </c>
      <c r="E213" s="90">
        <f>ROUNDDOWN(자재단가대비표!N46,0)</f>
        <v>1830</v>
      </c>
      <c r="F213" s="90">
        <f>ROUNDDOWN(D213*E213,1)</f>
        <v>1921.5</v>
      </c>
      <c r="G213" s="90"/>
      <c r="H213" s="90"/>
      <c r="I213" s="90"/>
      <c r="J213" s="90"/>
      <c r="K213" s="90">
        <f t="shared" ref="K213:L216" si="27">E213+G213+I213</f>
        <v>1830</v>
      </c>
      <c r="L213" s="90">
        <f t="shared" si="27"/>
        <v>1921.5</v>
      </c>
      <c r="M213" s="70"/>
      <c r="O213" s="31" t="s">
        <v>457</v>
      </c>
      <c r="P213" s="31" t="s">
        <v>452</v>
      </c>
      <c r="Q213" s="27">
        <v>1</v>
      </c>
    </row>
    <row r="214" spans="1:17" ht="16.5" customHeight="1">
      <c r="A214" s="88" t="s">
        <v>344</v>
      </c>
      <c r="B214" s="88" t="s">
        <v>19</v>
      </c>
      <c r="C214" s="39" t="s">
        <v>339</v>
      </c>
      <c r="D214" s="90">
        <v>2.3100000000000002E-2</v>
      </c>
      <c r="E214" s="90"/>
      <c r="F214" s="90"/>
      <c r="G214" s="90">
        <f>ROUNDDOWN(자재단가대비표!N111,0)</f>
        <v>135112</v>
      </c>
      <c r="H214" s="90">
        <f>ROUNDDOWN(D214*G214,1)</f>
        <v>3121</v>
      </c>
      <c r="I214" s="90"/>
      <c r="J214" s="90"/>
      <c r="K214" s="90">
        <f t="shared" si="27"/>
        <v>135112</v>
      </c>
      <c r="L214" s="90">
        <f t="shared" si="27"/>
        <v>3121</v>
      </c>
      <c r="M214" s="70"/>
      <c r="O214" s="31" t="s">
        <v>462</v>
      </c>
      <c r="P214" s="31" t="s">
        <v>452</v>
      </c>
      <c r="Q214" s="27">
        <v>1</v>
      </c>
    </row>
    <row r="215" spans="1:17" ht="16.5" customHeight="1">
      <c r="A215" s="88" t="s">
        <v>352</v>
      </c>
      <c r="B215" s="88" t="s">
        <v>19</v>
      </c>
      <c r="C215" s="39" t="s">
        <v>339</v>
      </c>
      <c r="D215" s="90">
        <v>1.12E-2</v>
      </c>
      <c r="E215" s="90"/>
      <c r="F215" s="90"/>
      <c r="G215" s="90">
        <f>ROUNDDOWN(자재단가대비표!N119,0)</f>
        <v>87805</v>
      </c>
      <c r="H215" s="90">
        <f>ROUNDDOWN(D215*G215,1)</f>
        <v>983.4</v>
      </c>
      <c r="I215" s="90"/>
      <c r="J215" s="90"/>
      <c r="K215" s="90">
        <f t="shared" si="27"/>
        <v>87805</v>
      </c>
      <c r="L215" s="90">
        <f t="shared" si="27"/>
        <v>983.4</v>
      </c>
      <c r="M215" s="70"/>
      <c r="O215" s="31" t="s">
        <v>462</v>
      </c>
      <c r="P215" s="31" t="s">
        <v>452</v>
      </c>
      <c r="Q215" s="27">
        <v>1</v>
      </c>
    </row>
    <row r="216" spans="1:17" ht="16.5" customHeight="1">
      <c r="A216" s="88" t="s">
        <v>538</v>
      </c>
      <c r="B216" s="34" t="str">
        <f>"인력품의 "&amp;N216*100&amp;"%"</f>
        <v>인력품의 1%</v>
      </c>
      <c r="C216" s="39" t="s">
        <v>459</v>
      </c>
      <c r="D216" s="94" t="s">
        <v>460</v>
      </c>
      <c r="E216" s="90">
        <f>SUMIF($O$212:O216, "02", $H$212:H216)</f>
        <v>4104.3999999999996</v>
      </c>
      <c r="F216" s="90">
        <f>ROUNDDOWN(E216*N216,1)</f>
        <v>41</v>
      </c>
      <c r="G216" s="90"/>
      <c r="H216" s="90"/>
      <c r="I216" s="90"/>
      <c r="J216" s="90"/>
      <c r="K216" s="90">
        <f t="shared" si="27"/>
        <v>4104.3999999999996</v>
      </c>
      <c r="L216" s="90">
        <f t="shared" si="27"/>
        <v>41</v>
      </c>
      <c r="M216" s="71" t="s">
        <v>539</v>
      </c>
      <c r="N216" s="32">
        <v>0.01</v>
      </c>
      <c r="P216" s="31" t="s">
        <v>452</v>
      </c>
      <c r="Q216" s="27">
        <v>1</v>
      </c>
    </row>
    <row r="217" spans="1:17" ht="16.5" customHeight="1">
      <c r="A217" s="116" t="s">
        <v>419</v>
      </c>
      <c r="B217" s="65"/>
      <c r="C217" s="66"/>
      <c r="D217" s="67"/>
      <c r="E217" s="67"/>
      <c r="F217" s="123">
        <f>ROUNDDOWN(SUMIF($Q$213:$Q$216, 1,$F$213:$F$216),0)</f>
        <v>1962</v>
      </c>
      <c r="G217" s="67"/>
      <c r="H217" s="123">
        <f>ROUNDDOWN(SUMIF($Q$213:$Q$216, 1,$H$213:$H$216),0)</f>
        <v>4104</v>
      </c>
      <c r="I217" s="67"/>
      <c r="J217" s="123">
        <f>ROUNDDOWN(SUMIF($Q$213:$Q$216, 1,$J$213:$J$216),0)</f>
        <v>0</v>
      </c>
      <c r="K217" s="67"/>
      <c r="L217" s="123">
        <f>F217+H217+J217</f>
        <v>6066</v>
      </c>
      <c r="M217" s="69"/>
    </row>
    <row r="218" spans="1:17" ht="16.5" customHeight="1">
      <c r="A218" s="88" t="s">
        <v>631</v>
      </c>
      <c r="B218" s="88" t="s">
        <v>629</v>
      </c>
      <c r="C218" s="39" t="s">
        <v>26</v>
      </c>
      <c r="D218" s="90"/>
      <c r="E218" s="90"/>
      <c r="F218" s="90"/>
      <c r="G218" s="90"/>
      <c r="H218" s="90"/>
      <c r="I218" s="90"/>
      <c r="J218" s="90"/>
      <c r="K218" s="90"/>
      <c r="L218" s="90"/>
      <c r="M218" s="71" t="s">
        <v>630</v>
      </c>
    </row>
    <row r="219" spans="1:17" ht="16.5" customHeight="1">
      <c r="A219" s="88" t="s">
        <v>160</v>
      </c>
      <c r="B219" s="88" t="s">
        <v>161</v>
      </c>
      <c r="C219" s="39" t="s">
        <v>26</v>
      </c>
      <c r="D219" s="90">
        <v>1.05</v>
      </c>
      <c r="E219" s="90">
        <f>ROUNDDOWN(자재단가대비표!N46,0)</f>
        <v>1830</v>
      </c>
      <c r="F219" s="90">
        <f>ROUNDDOWN(D219*E219,1)</f>
        <v>1921.5</v>
      </c>
      <c r="G219" s="90"/>
      <c r="H219" s="90"/>
      <c r="I219" s="90"/>
      <c r="J219" s="90"/>
      <c r="K219" s="90">
        <f t="shared" ref="K219:L222" si="28">E219+G219+I219</f>
        <v>1830</v>
      </c>
      <c r="L219" s="90">
        <f t="shared" si="28"/>
        <v>1921.5</v>
      </c>
      <c r="M219" s="70"/>
      <c r="O219" s="31" t="s">
        <v>457</v>
      </c>
      <c r="P219" s="31" t="s">
        <v>452</v>
      </c>
      <c r="Q219" s="27">
        <v>1</v>
      </c>
    </row>
    <row r="220" spans="1:17" ht="16.5" customHeight="1">
      <c r="A220" s="88" t="s">
        <v>344</v>
      </c>
      <c r="B220" s="88" t="s">
        <v>19</v>
      </c>
      <c r="C220" s="39" t="s">
        <v>339</v>
      </c>
      <c r="D220" s="90">
        <v>4.6200000000000005E-2</v>
      </c>
      <c r="E220" s="90"/>
      <c r="F220" s="90"/>
      <c r="G220" s="90">
        <f>ROUNDDOWN(자재단가대비표!N111,0)</f>
        <v>135112</v>
      </c>
      <c r="H220" s="90">
        <f>ROUNDDOWN(D220*G220,1)</f>
        <v>6242.1</v>
      </c>
      <c r="I220" s="90"/>
      <c r="J220" s="90"/>
      <c r="K220" s="90">
        <f t="shared" si="28"/>
        <v>135112</v>
      </c>
      <c r="L220" s="90">
        <f t="shared" si="28"/>
        <v>6242.1</v>
      </c>
      <c r="M220" s="70"/>
      <c r="O220" s="31" t="s">
        <v>462</v>
      </c>
      <c r="P220" s="31" t="s">
        <v>452</v>
      </c>
      <c r="Q220" s="27">
        <v>1</v>
      </c>
    </row>
    <row r="221" spans="1:17" ht="16.5" customHeight="1">
      <c r="A221" s="88" t="s">
        <v>352</v>
      </c>
      <c r="B221" s="88" t="s">
        <v>19</v>
      </c>
      <c r="C221" s="39" t="s">
        <v>339</v>
      </c>
      <c r="D221" s="90">
        <v>2.24E-2</v>
      </c>
      <c r="E221" s="90"/>
      <c r="F221" s="90"/>
      <c r="G221" s="90">
        <f>ROUNDDOWN(자재단가대비표!N119,0)</f>
        <v>87805</v>
      </c>
      <c r="H221" s="90">
        <f>ROUNDDOWN(D221*G221,1)</f>
        <v>1966.8</v>
      </c>
      <c r="I221" s="90"/>
      <c r="J221" s="90"/>
      <c r="K221" s="90">
        <f t="shared" si="28"/>
        <v>87805</v>
      </c>
      <c r="L221" s="90">
        <f t="shared" si="28"/>
        <v>1966.8</v>
      </c>
      <c r="M221" s="70"/>
      <c r="O221" s="31" t="s">
        <v>462</v>
      </c>
      <c r="P221" s="31" t="s">
        <v>452</v>
      </c>
      <c r="Q221" s="27">
        <v>1</v>
      </c>
    </row>
    <row r="222" spans="1:17" ht="16.5" customHeight="1">
      <c r="A222" s="88" t="s">
        <v>538</v>
      </c>
      <c r="B222" s="34" t="str">
        <f>"인력품의 "&amp;N222*100&amp;"%"</f>
        <v>인력품의 1%</v>
      </c>
      <c r="C222" s="39" t="s">
        <v>459</v>
      </c>
      <c r="D222" s="94" t="s">
        <v>460</v>
      </c>
      <c r="E222" s="90">
        <f>SUMIF($O$218:O222, "02", $H$218:H222)</f>
        <v>8208.9</v>
      </c>
      <c r="F222" s="90">
        <f>ROUNDDOWN(E222*N222,1)</f>
        <v>82</v>
      </c>
      <c r="G222" s="90"/>
      <c r="H222" s="90"/>
      <c r="I222" s="90"/>
      <c r="J222" s="90"/>
      <c r="K222" s="90">
        <f t="shared" si="28"/>
        <v>8208.9</v>
      </c>
      <c r="L222" s="90">
        <f t="shared" si="28"/>
        <v>82</v>
      </c>
      <c r="M222" s="71" t="s">
        <v>539</v>
      </c>
      <c r="N222" s="32">
        <v>0.01</v>
      </c>
      <c r="P222" s="31" t="s">
        <v>452</v>
      </c>
      <c r="Q222" s="27">
        <v>1</v>
      </c>
    </row>
    <row r="223" spans="1:17" ht="16.5" customHeight="1">
      <c r="A223" s="116" t="s">
        <v>419</v>
      </c>
      <c r="B223" s="65"/>
      <c r="C223" s="66"/>
      <c r="D223" s="67"/>
      <c r="E223" s="67"/>
      <c r="F223" s="123">
        <f>ROUNDDOWN(SUMIF($Q$219:$Q$222, 1,$F$219:$F$222),0)</f>
        <v>2003</v>
      </c>
      <c r="G223" s="67"/>
      <c r="H223" s="123">
        <f>ROUNDDOWN(SUMIF($Q$219:$Q$222, 1,$H$219:$H$222),0)</f>
        <v>8208</v>
      </c>
      <c r="I223" s="67"/>
      <c r="J223" s="123">
        <f>ROUNDDOWN(SUMIF($Q$219:$Q$222, 1,$J$219:$J$222),0)</f>
        <v>0</v>
      </c>
      <c r="K223" s="67"/>
      <c r="L223" s="123">
        <f>F223+H223+J223</f>
        <v>10211</v>
      </c>
      <c r="M223" s="69"/>
    </row>
    <row r="224" spans="1:17" ht="16.5" customHeight="1">
      <c r="A224" s="88" t="s">
        <v>632</v>
      </c>
      <c r="B224" s="88" t="s">
        <v>633</v>
      </c>
      <c r="C224" s="39" t="s">
        <v>26</v>
      </c>
      <c r="D224" s="90"/>
      <c r="E224" s="90"/>
      <c r="F224" s="90"/>
      <c r="G224" s="90"/>
      <c r="H224" s="90"/>
      <c r="I224" s="90"/>
      <c r="J224" s="90"/>
      <c r="K224" s="90"/>
      <c r="L224" s="90"/>
      <c r="M224" s="71" t="s">
        <v>634</v>
      </c>
    </row>
    <row r="225" spans="1:17" ht="16.5" customHeight="1">
      <c r="A225" s="88" t="s">
        <v>134</v>
      </c>
      <c r="B225" s="88" t="s">
        <v>135</v>
      </c>
      <c r="C225" s="39" t="s">
        <v>26</v>
      </c>
      <c r="D225" s="90">
        <v>1.03</v>
      </c>
      <c r="E225" s="90">
        <f>ROUNDDOWN(자재단가대비표!N37,0)</f>
        <v>3961</v>
      </c>
      <c r="F225" s="90">
        <f>ROUNDDOWN(D225*E225,1)</f>
        <v>4079.8</v>
      </c>
      <c r="G225" s="90"/>
      <c r="H225" s="90"/>
      <c r="I225" s="90"/>
      <c r="J225" s="90"/>
      <c r="K225" s="90">
        <f t="shared" ref="K225:L227" si="29">E225+G225+I225</f>
        <v>3961</v>
      </c>
      <c r="L225" s="90">
        <f t="shared" si="29"/>
        <v>4079.8</v>
      </c>
      <c r="M225" s="70"/>
      <c r="O225" s="31" t="s">
        <v>457</v>
      </c>
      <c r="P225" s="31" t="s">
        <v>452</v>
      </c>
      <c r="Q225" s="27">
        <v>1</v>
      </c>
    </row>
    <row r="226" spans="1:17" ht="16.5" customHeight="1">
      <c r="A226" s="88" t="s">
        <v>341</v>
      </c>
      <c r="B226" s="88" t="s">
        <v>19</v>
      </c>
      <c r="C226" s="39" t="s">
        <v>339</v>
      </c>
      <c r="D226" s="90">
        <v>4.1999999999999996E-2</v>
      </c>
      <c r="E226" s="90"/>
      <c r="F226" s="90"/>
      <c r="G226" s="90">
        <f>ROUNDDOWN(자재단가대비표!N109,0)</f>
        <v>139327</v>
      </c>
      <c r="H226" s="90">
        <f>ROUNDDOWN(D226*G226,1)</f>
        <v>5851.7</v>
      </c>
      <c r="I226" s="90"/>
      <c r="J226" s="90"/>
      <c r="K226" s="90">
        <f t="shared" si="29"/>
        <v>139327</v>
      </c>
      <c r="L226" s="90">
        <f t="shared" si="29"/>
        <v>5851.7</v>
      </c>
      <c r="M226" s="70"/>
      <c r="O226" s="31" t="s">
        <v>462</v>
      </c>
      <c r="P226" s="31" t="s">
        <v>452</v>
      </c>
      <c r="Q226" s="27">
        <v>1</v>
      </c>
    </row>
    <row r="227" spans="1:17" ht="16.5" customHeight="1">
      <c r="A227" s="88" t="s">
        <v>352</v>
      </c>
      <c r="B227" s="88" t="s">
        <v>19</v>
      </c>
      <c r="C227" s="39" t="s">
        <v>339</v>
      </c>
      <c r="D227" s="90">
        <v>4.1999999999999997E-3</v>
      </c>
      <c r="E227" s="90"/>
      <c r="F227" s="90"/>
      <c r="G227" s="90">
        <f>ROUNDDOWN(자재단가대비표!N119,0)</f>
        <v>87805</v>
      </c>
      <c r="H227" s="90">
        <f>ROUNDDOWN(D227*G227,1)</f>
        <v>368.7</v>
      </c>
      <c r="I227" s="90"/>
      <c r="J227" s="90"/>
      <c r="K227" s="90">
        <f t="shared" si="29"/>
        <v>87805</v>
      </c>
      <c r="L227" s="90">
        <f t="shared" si="29"/>
        <v>368.7</v>
      </c>
      <c r="M227" s="70"/>
      <c r="O227" s="31" t="s">
        <v>462</v>
      </c>
      <c r="P227" s="31" t="s">
        <v>452</v>
      </c>
      <c r="Q227" s="27">
        <v>1</v>
      </c>
    </row>
    <row r="228" spans="1:17" ht="16.5" customHeight="1">
      <c r="A228" s="116" t="s">
        <v>419</v>
      </c>
      <c r="B228" s="65"/>
      <c r="C228" s="66"/>
      <c r="D228" s="67"/>
      <c r="E228" s="67"/>
      <c r="F228" s="123">
        <f>ROUNDDOWN(SUMIF($Q$225:$Q$227, 1,$F$225:$F$227),0)</f>
        <v>4079</v>
      </c>
      <c r="G228" s="67"/>
      <c r="H228" s="123">
        <f>ROUNDDOWN(SUMIF($Q$225:$Q$227, 1,$H$225:$H$227),0)</f>
        <v>6220</v>
      </c>
      <c r="I228" s="67"/>
      <c r="J228" s="123">
        <f>ROUNDDOWN(SUMIF($Q$225:$Q$227, 1,$J$225:$J$227),0)</f>
        <v>0</v>
      </c>
      <c r="K228" s="67"/>
      <c r="L228" s="123">
        <f>F228+H228+J228</f>
        <v>10299</v>
      </c>
      <c r="M228" s="69"/>
    </row>
    <row r="229" spans="1:17" ht="16.5" customHeight="1">
      <c r="A229" s="88" t="s">
        <v>635</v>
      </c>
      <c r="B229" s="88" t="s">
        <v>636</v>
      </c>
      <c r="C229" s="39" t="s">
        <v>26</v>
      </c>
      <c r="D229" s="90"/>
      <c r="E229" s="90"/>
      <c r="F229" s="90"/>
      <c r="G229" s="90"/>
      <c r="H229" s="90"/>
      <c r="I229" s="90"/>
      <c r="J229" s="90"/>
      <c r="K229" s="90"/>
      <c r="L229" s="90"/>
      <c r="M229" s="71" t="s">
        <v>634</v>
      </c>
    </row>
    <row r="230" spans="1:17" ht="16.5" customHeight="1">
      <c r="A230" s="88" t="s">
        <v>28</v>
      </c>
      <c r="B230" s="88" t="s">
        <v>29</v>
      </c>
      <c r="C230" s="39" t="s">
        <v>26</v>
      </c>
      <c r="D230" s="90">
        <v>1.03</v>
      </c>
      <c r="E230" s="90">
        <f>ROUNDDOWN(자재단가대비표!N11,0)</f>
        <v>3728</v>
      </c>
      <c r="F230" s="90">
        <f>ROUNDDOWN(D230*E230,1)</f>
        <v>3839.8</v>
      </c>
      <c r="G230" s="90"/>
      <c r="H230" s="90"/>
      <c r="I230" s="90"/>
      <c r="J230" s="90"/>
      <c r="K230" s="90">
        <f t="shared" ref="K230:L233" si="30">E230+G230+I230</f>
        <v>3728</v>
      </c>
      <c r="L230" s="90">
        <f t="shared" si="30"/>
        <v>3839.8</v>
      </c>
      <c r="M230" s="70"/>
      <c r="O230" s="31" t="s">
        <v>457</v>
      </c>
      <c r="P230" s="31" t="s">
        <v>452</v>
      </c>
      <c r="Q230" s="27">
        <v>1</v>
      </c>
    </row>
    <row r="231" spans="1:17" ht="16.5" customHeight="1">
      <c r="A231" s="88" t="s">
        <v>341</v>
      </c>
      <c r="B231" s="88" t="s">
        <v>19</v>
      </c>
      <c r="C231" s="39" t="s">
        <v>339</v>
      </c>
      <c r="D231" s="90">
        <v>4.1999999999999996E-2</v>
      </c>
      <c r="E231" s="90"/>
      <c r="F231" s="90"/>
      <c r="G231" s="90">
        <f>ROUNDDOWN(자재단가대비표!N109,0)</f>
        <v>139327</v>
      </c>
      <c r="H231" s="90">
        <f>ROUNDDOWN(D231*G231,1)</f>
        <v>5851.7</v>
      </c>
      <c r="I231" s="90"/>
      <c r="J231" s="90"/>
      <c r="K231" s="90">
        <f t="shared" si="30"/>
        <v>139327</v>
      </c>
      <c r="L231" s="90">
        <f t="shared" si="30"/>
        <v>5851.7</v>
      </c>
      <c r="M231" s="70"/>
      <c r="O231" s="31" t="s">
        <v>462</v>
      </c>
      <c r="P231" s="31" t="s">
        <v>452</v>
      </c>
      <c r="Q231" s="27">
        <v>1</v>
      </c>
    </row>
    <row r="232" spans="1:17" ht="16.5" customHeight="1">
      <c r="A232" s="88" t="s">
        <v>352</v>
      </c>
      <c r="B232" s="88" t="s">
        <v>19</v>
      </c>
      <c r="C232" s="39" t="s">
        <v>339</v>
      </c>
      <c r="D232" s="90">
        <v>4.1999999999999997E-3</v>
      </c>
      <c r="E232" s="90"/>
      <c r="F232" s="90"/>
      <c r="G232" s="90">
        <f>ROUNDDOWN(자재단가대비표!N119,0)</f>
        <v>87805</v>
      </c>
      <c r="H232" s="90">
        <f>ROUNDDOWN(D232*G232,1)</f>
        <v>368.7</v>
      </c>
      <c r="I232" s="90"/>
      <c r="J232" s="90"/>
      <c r="K232" s="90">
        <f t="shared" si="30"/>
        <v>87805</v>
      </c>
      <c r="L232" s="90">
        <f t="shared" si="30"/>
        <v>368.7</v>
      </c>
      <c r="M232" s="70"/>
      <c r="O232" s="31" t="s">
        <v>462</v>
      </c>
      <c r="P232" s="31" t="s">
        <v>452</v>
      </c>
      <c r="Q232" s="27">
        <v>1</v>
      </c>
    </row>
    <row r="233" spans="1:17" ht="16.5" customHeight="1">
      <c r="A233" s="88" t="s">
        <v>538</v>
      </c>
      <c r="B233" s="34" t="str">
        <f>"인력품의 "&amp;N233*100&amp;"%"</f>
        <v>인력품의 2%</v>
      </c>
      <c r="C233" s="39" t="s">
        <v>459</v>
      </c>
      <c r="D233" s="94" t="s">
        <v>460</v>
      </c>
      <c r="E233" s="90">
        <f>SUMIF($O$229:O233, "02", $H$229:H233)</f>
        <v>6220.4</v>
      </c>
      <c r="F233" s="90">
        <f>ROUNDDOWN(E233*N233,1)</f>
        <v>124.4</v>
      </c>
      <c r="G233" s="90"/>
      <c r="H233" s="90"/>
      <c r="I233" s="90"/>
      <c r="J233" s="90"/>
      <c r="K233" s="90">
        <f t="shared" si="30"/>
        <v>6220.4</v>
      </c>
      <c r="L233" s="90">
        <f t="shared" si="30"/>
        <v>124.4</v>
      </c>
      <c r="M233" s="71" t="s">
        <v>539</v>
      </c>
      <c r="N233" s="32">
        <v>0.02</v>
      </c>
      <c r="P233" s="31" t="s">
        <v>452</v>
      </c>
      <c r="Q233" s="27">
        <v>1</v>
      </c>
    </row>
    <row r="234" spans="1:17" ht="16.5" customHeight="1">
      <c r="A234" s="116" t="s">
        <v>419</v>
      </c>
      <c r="B234" s="65"/>
      <c r="C234" s="66"/>
      <c r="D234" s="67"/>
      <c r="E234" s="67"/>
      <c r="F234" s="123">
        <f>ROUNDDOWN(SUMIF($Q$230:$Q$233, 1,$F$230:$F$233),0)</f>
        <v>3964</v>
      </c>
      <c r="G234" s="67"/>
      <c r="H234" s="123">
        <f>ROUNDDOWN(SUMIF($Q$230:$Q$233, 1,$H$230:$H$233),0)</f>
        <v>6220</v>
      </c>
      <c r="I234" s="67"/>
      <c r="J234" s="123">
        <f>ROUNDDOWN(SUMIF($Q$230:$Q$233, 1,$J$230:$J$233),0)</f>
        <v>0</v>
      </c>
      <c r="K234" s="67"/>
      <c r="L234" s="123">
        <f>F234+H234+J234</f>
        <v>10184</v>
      </c>
      <c r="M234" s="69"/>
    </row>
    <row r="235" spans="1:17" ht="16.5" customHeight="1">
      <c r="A235" s="88" t="s">
        <v>637</v>
      </c>
      <c r="B235" s="88" t="s">
        <v>19</v>
      </c>
      <c r="C235" s="39" t="s">
        <v>26</v>
      </c>
      <c r="D235" s="90"/>
      <c r="E235" s="90"/>
      <c r="F235" s="90"/>
      <c r="G235" s="90"/>
      <c r="H235" s="90"/>
      <c r="I235" s="90"/>
      <c r="J235" s="90"/>
      <c r="K235" s="90"/>
      <c r="L235" s="90"/>
      <c r="M235" s="71" t="s">
        <v>638</v>
      </c>
    </row>
    <row r="236" spans="1:17" ht="16.5" customHeight="1">
      <c r="A236" s="88" t="s">
        <v>313</v>
      </c>
      <c r="B236" s="88" t="s">
        <v>19</v>
      </c>
      <c r="C236" s="39" t="s">
        <v>26</v>
      </c>
      <c r="D236" s="90">
        <v>1.2</v>
      </c>
      <c r="E236" s="90">
        <f>ROUNDDOWN(자재단가대비표!N95,0)</f>
        <v>185</v>
      </c>
      <c r="F236" s="90">
        <f>ROUNDDOWN(D236*E236,1)</f>
        <v>222</v>
      </c>
      <c r="G236" s="90"/>
      <c r="H236" s="90"/>
      <c r="I236" s="90"/>
      <c r="J236" s="90"/>
      <c r="K236" s="90">
        <f t="shared" ref="K236:L239" si="31">E236+G236+I236</f>
        <v>185</v>
      </c>
      <c r="L236" s="90">
        <f t="shared" si="31"/>
        <v>222</v>
      </c>
      <c r="M236" s="70"/>
      <c r="O236" s="31" t="s">
        <v>457</v>
      </c>
      <c r="P236" s="31" t="s">
        <v>452</v>
      </c>
      <c r="Q236" s="27">
        <v>1</v>
      </c>
    </row>
    <row r="237" spans="1:17" ht="16.5" customHeight="1">
      <c r="A237" s="88" t="s">
        <v>329</v>
      </c>
      <c r="B237" s="88" t="s">
        <v>330</v>
      </c>
      <c r="C237" s="39" t="s">
        <v>58</v>
      </c>
      <c r="D237" s="90">
        <v>0.3</v>
      </c>
      <c r="E237" s="90">
        <f>ROUNDDOWN(자재단가대비표!N103,0)</f>
        <v>710</v>
      </c>
      <c r="F237" s="90">
        <f>ROUNDDOWN(D237*E237,1)</f>
        <v>213</v>
      </c>
      <c r="G237" s="90"/>
      <c r="H237" s="90"/>
      <c r="I237" s="90"/>
      <c r="J237" s="90"/>
      <c r="K237" s="90">
        <f t="shared" si="31"/>
        <v>710</v>
      </c>
      <c r="L237" s="90">
        <f t="shared" si="31"/>
        <v>213</v>
      </c>
      <c r="M237" s="70"/>
      <c r="O237" s="31" t="s">
        <v>457</v>
      </c>
      <c r="P237" s="31" t="s">
        <v>452</v>
      </c>
      <c r="Q237" s="27">
        <v>1</v>
      </c>
    </row>
    <row r="238" spans="1:17" ht="16.5" customHeight="1">
      <c r="A238" s="88" t="s">
        <v>345</v>
      </c>
      <c r="B238" s="88" t="s">
        <v>19</v>
      </c>
      <c r="C238" s="39" t="s">
        <v>339</v>
      </c>
      <c r="D238" s="90">
        <v>1.6799999999999999E-2</v>
      </c>
      <c r="E238" s="90"/>
      <c r="F238" s="90"/>
      <c r="G238" s="90">
        <f>ROUNDDOWN(자재단가대비표!N112,0)</f>
        <v>116098</v>
      </c>
      <c r="H238" s="90">
        <f>ROUNDDOWN(D238*G238,1)</f>
        <v>1950.4</v>
      </c>
      <c r="I238" s="90"/>
      <c r="J238" s="90"/>
      <c r="K238" s="90">
        <f t="shared" si="31"/>
        <v>116098</v>
      </c>
      <c r="L238" s="90">
        <f t="shared" si="31"/>
        <v>1950.4</v>
      </c>
      <c r="M238" s="70"/>
      <c r="O238" s="31" t="s">
        <v>462</v>
      </c>
      <c r="P238" s="31" t="s">
        <v>452</v>
      </c>
      <c r="Q238" s="27">
        <v>1</v>
      </c>
    </row>
    <row r="239" spans="1:17" ht="16.5" customHeight="1">
      <c r="A239" s="88" t="s">
        <v>352</v>
      </c>
      <c r="B239" s="88" t="s">
        <v>19</v>
      </c>
      <c r="C239" s="39" t="s">
        <v>339</v>
      </c>
      <c r="D239" s="90">
        <v>4.1999999999999997E-3</v>
      </c>
      <c r="E239" s="90"/>
      <c r="F239" s="90"/>
      <c r="G239" s="90">
        <f>ROUNDDOWN(자재단가대비표!N119,0)</f>
        <v>87805</v>
      </c>
      <c r="H239" s="90">
        <f>ROUNDDOWN(D239*G239,1)</f>
        <v>368.7</v>
      </c>
      <c r="I239" s="90"/>
      <c r="J239" s="90"/>
      <c r="K239" s="90">
        <f t="shared" si="31"/>
        <v>87805</v>
      </c>
      <c r="L239" s="90">
        <f t="shared" si="31"/>
        <v>368.7</v>
      </c>
      <c r="M239" s="70"/>
      <c r="O239" s="31" t="s">
        <v>462</v>
      </c>
      <c r="P239" s="31" t="s">
        <v>452</v>
      </c>
      <c r="Q239" s="27">
        <v>1</v>
      </c>
    </row>
    <row r="240" spans="1:17" ht="16.5" customHeight="1">
      <c r="A240" s="116" t="s">
        <v>419</v>
      </c>
      <c r="B240" s="65"/>
      <c r="C240" s="66"/>
      <c r="D240" s="67"/>
      <c r="E240" s="67"/>
      <c r="F240" s="123">
        <f>ROUNDDOWN(SUMIF($Q$236:$Q$239, 1,$F$236:$F$239),0)</f>
        <v>435</v>
      </c>
      <c r="G240" s="67"/>
      <c r="H240" s="123">
        <f>ROUNDDOWN(SUMIF($Q$236:$Q$239, 1,$H$236:$H$239),0)</f>
        <v>2319</v>
      </c>
      <c r="I240" s="67"/>
      <c r="J240" s="123">
        <f>ROUNDDOWN(SUMIF($Q$236:$Q$239, 1,$J$236:$J$239),0)</f>
        <v>0</v>
      </c>
      <c r="K240" s="67"/>
      <c r="L240" s="123">
        <f>F240+H240+J240</f>
        <v>2754</v>
      </c>
      <c r="M240" s="69"/>
    </row>
    <row r="241" spans="1:17" ht="16.5" customHeight="1">
      <c r="A241" s="88" t="s">
        <v>639</v>
      </c>
      <c r="B241" s="88" t="s">
        <v>932</v>
      </c>
      <c r="C241" s="39" t="s">
        <v>26</v>
      </c>
      <c r="D241" s="90"/>
      <c r="E241" s="90"/>
      <c r="F241" s="90"/>
      <c r="G241" s="90"/>
      <c r="H241" s="90"/>
      <c r="I241" s="90"/>
      <c r="J241" s="90"/>
      <c r="K241" s="90"/>
      <c r="L241" s="90"/>
      <c r="M241" s="71" t="s">
        <v>640</v>
      </c>
    </row>
    <row r="242" spans="1:17" ht="16.5" customHeight="1">
      <c r="A242" s="88" t="s">
        <v>88</v>
      </c>
      <c r="B242" s="88" t="s">
        <v>89</v>
      </c>
      <c r="C242" s="39" t="s">
        <v>26</v>
      </c>
      <c r="D242" s="90">
        <v>1.05</v>
      </c>
      <c r="E242" s="90">
        <f>ROUNDDOWN(자재단가대비표!N26,0)</f>
        <v>6280</v>
      </c>
      <c r="F242" s="90">
        <f>ROUNDDOWN(D242*E242,1)</f>
        <v>6594</v>
      </c>
      <c r="G242" s="90"/>
      <c r="H242" s="90"/>
      <c r="I242" s="90"/>
      <c r="J242" s="90"/>
      <c r="K242" s="90">
        <f t="shared" ref="K242:L246" si="32">E242+G242+I242</f>
        <v>6280</v>
      </c>
      <c r="L242" s="90">
        <f t="shared" si="32"/>
        <v>6594</v>
      </c>
      <c r="M242" s="70"/>
      <c r="O242" s="31" t="s">
        <v>457</v>
      </c>
      <c r="P242" s="31" t="s">
        <v>452</v>
      </c>
      <c r="Q242" s="27">
        <v>1</v>
      </c>
    </row>
    <row r="243" spans="1:17" ht="16.5" customHeight="1">
      <c r="A243" s="88" t="s">
        <v>306</v>
      </c>
      <c r="B243" s="88" t="s">
        <v>307</v>
      </c>
      <c r="C243" s="39" t="s">
        <v>58</v>
      </c>
      <c r="D243" s="90">
        <v>0.34499999999999997</v>
      </c>
      <c r="E243" s="90">
        <f>ROUNDDOWN(자재단가대비표!N92,0)</f>
        <v>2450</v>
      </c>
      <c r="F243" s="90">
        <f>ROUNDDOWN(D243*E243,1)</f>
        <v>845.2</v>
      </c>
      <c r="G243" s="90"/>
      <c r="H243" s="90"/>
      <c r="I243" s="90"/>
      <c r="J243" s="90"/>
      <c r="K243" s="90">
        <f t="shared" si="32"/>
        <v>2450</v>
      </c>
      <c r="L243" s="90">
        <f t="shared" si="32"/>
        <v>845.2</v>
      </c>
      <c r="M243" s="70"/>
      <c r="O243" s="31" t="s">
        <v>457</v>
      </c>
      <c r="P243" s="31" t="s">
        <v>452</v>
      </c>
      <c r="Q243" s="27">
        <v>1</v>
      </c>
    </row>
    <row r="244" spans="1:17" ht="16.5" customHeight="1">
      <c r="A244" s="103" t="s">
        <v>933</v>
      </c>
      <c r="B244" s="103" t="s">
        <v>935</v>
      </c>
      <c r="C244" s="104" t="s">
        <v>934</v>
      </c>
      <c r="D244" s="129">
        <v>0.12</v>
      </c>
      <c r="E244" s="129">
        <f>15900/20</f>
        <v>795</v>
      </c>
      <c r="F244" s="90">
        <f>ROUNDDOWN(D244*E244,1)</f>
        <v>95.4</v>
      </c>
      <c r="G244" s="129"/>
      <c r="H244" s="129"/>
      <c r="I244" s="129"/>
      <c r="J244" s="129"/>
      <c r="K244" s="90">
        <f t="shared" ref="K244" si="33">E244+G244+I244</f>
        <v>795</v>
      </c>
      <c r="L244" s="90">
        <f t="shared" ref="L244" si="34">F244+H244+J244</f>
        <v>95.4</v>
      </c>
      <c r="M244" s="130"/>
      <c r="O244" s="31"/>
      <c r="P244" s="31"/>
    </row>
    <row r="245" spans="1:17" ht="16.5" customHeight="1">
      <c r="A245" s="88" t="s">
        <v>344</v>
      </c>
      <c r="B245" s="88" t="s">
        <v>19</v>
      </c>
      <c r="C245" s="39" t="s">
        <v>339</v>
      </c>
      <c r="D245" s="90">
        <v>3.7100000000000001E-2</v>
      </c>
      <c r="E245" s="90"/>
      <c r="F245" s="90"/>
      <c r="G245" s="90">
        <f>ROUNDDOWN(자재단가대비표!N111,0)</f>
        <v>135112</v>
      </c>
      <c r="H245" s="90">
        <f>ROUNDDOWN(D245*G245,1)</f>
        <v>5012.6000000000004</v>
      </c>
      <c r="I245" s="90"/>
      <c r="J245" s="90"/>
      <c r="K245" s="90">
        <f t="shared" si="32"/>
        <v>135112</v>
      </c>
      <c r="L245" s="90">
        <f t="shared" si="32"/>
        <v>5012.6000000000004</v>
      </c>
      <c r="M245" s="70"/>
      <c r="O245" s="31" t="s">
        <v>462</v>
      </c>
      <c r="P245" s="31" t="s">
        <v>452</v>
      </c>
      <c r="Q245" s="27">
        <v>1</v>
      </c>
    </row>
    <row r="246" spans="1:17" ht="16.5" customHeight="1">
      <c r="A246" s="88" t="s">
        <v>352</v>
      </c>
      <c r="B246" s="88" t="s">
        <v>19</v>
      </c>
      <c r="C246" s="39" t="s">
        <v>339</v>
      </c>
      <c r="D246" s="90">
        <f>0.014+0.03/2</f>
        <v>2.8999999999999998E-2</v>
      </c>
      <c r="E246" s="90"/>
      <c r="F246" s="90"/>
      <c r="G246" s="90">
        <f>ROUNDDOWN(자재단가대비표!N119,0)</f>
        <v>87805</v>
      </c>
      <c r="H246" s="90">
        <f>ROUNDDOWN(D246*G246,1)</f>
        <v>2546.3000000000002</v>
      </c>
      <c r="I246" s="90"/>
      <c r="J246" s="90"/>
      <c r="K246" s="90">
        <f t="shared" si="32"/>
        <v>87805</v>
      </c>
      <c r="L246" s="90">
        <f t="shared" si="32"/>
        <v>2546.3000000000002</v>
      </c>
      <c r="M246" s="70"/>
      <c r="O246" s="31" t="s">
        <v>462</v>
      </c>
      <c r="P246" s="31" t="s">
        <v>452</v>
      </c>
      <c r="Q246" s="27">
        <v>1</v>
      </c>
    </row>
    <row r="247" spans="1:17" ht="16.5" customHeight="1">
      <c r="A247" s="116" t="s">
        <v>419</v>
      </c>
      <c r="B247" s="65"/>
      <c r="C247" s="66"/>
      <c r="D247" s="67"/>
      <c r="E247" s="67"/>
      <c r="F247" s="123">
        <f>ROUNDDOWN(SUM(F242:F246),0)</f>
        <v>7534</v>
      </c>
      <c r="G247" s="67"/>
      <c r="H247" s="123">
        <f>ROUNDDOWN(SUMIF($Q$242:$Q$246, 1,$H$242:$H$246),0)</f>
        <v>7558</v>
      </c>
      <c r="I247" s="67"/>
      <c r="J247" s="123">
        <f>ROUNDDOWN(SUMIF($Q$242:$Q$246, 1,$J$242:$J$246),0)</f>
        <v>0</v>
      </c>
      <c r="K247" s="67"/>
      <c r="L247" s="123">
        <f>F247+H247+J247</f>
        <v>15092</v>
      </c>
      <c r="M247" s="69"/>
    </row>
    <row r="248" spans="1:17" ht="16.5" customHeight="1">
      <c r="A248" s="88" t="s">
        <v>641</v>
      </c>
      <c r="B248" s="88" t="s">
        <v>642</v>
      </c>
      <c r="C248" s="39" t="s">
        <v>26</v>
      </c>
      <c r="D248" s="90"/>
      <c r="E248" s="90"/>
      <c r="F248" s="90"/>
      <c r="G248" s="90"/>
      <c r="H248" s="90"/>
      <c r="I248" s="90"/>
      <c r="J248" s="90"/>
      <c r="K248" s="90"/>
      <c r="L248" s="90"/>
      <c r="M248" s="71" t="s">
        <v>640</v>
      </c>
    </row>
    <row r="249" spans="1:17" ht="16.5" customHeight="1">
      <c r="A249" s="88" t="s">
        <v>315</v>
      </c>
      <c r="B249" s="88" t="s">
        <v>316</v>
      </c>
      <c r="C249" s="39" t="s">
        <v>26</v>
      </c>
      <c r="D249" s="90">
        <v>1.05</v>
      </c>
      <c r="E249" s="90">
        <f>ROUNDDOWN(자재단가대비표!N96,0)</f>
        <v>26500</v>
      </c>
      <c r="F249" s="90">
        <f>ROUNDDOWN(D249*E249,1)</f>
        <v>27825</v>
      </c>
      <c r="G249" s="90"/>
      <c r="H249" s="90"/>
      <c r="I249" s="90"/>
      <c r="J249" s="90"/>
      <c r="K249" s="90">
        <f t="shared" ref="K249:L252" si="35">E249+G249+I249</f>
        <v>26500</v>
      </c>
      <c r="L249" s="90">
        <f t="shared" si="35"/>
        <v>27825</v>
      </c>
      <c r="M249" s="70"/>
      <c r="O249" s="31" t="s">
        <v>457</v>
      </c>
      <c r="P249" s="31" t="s">
        <v>452</v>
      </c>
      <c r="Q249" s="27">
        <v>1</v>
      </c>
    </row>
    <row r="250" spans="1:17" ht="16.5" customHeight="1">
      <c r="A250" s="88" t="s">
        <v>306</v>
      </c>
      <c r="B250" s="88" t="s">
        <v>307</v>
      </c>
      <c r="C250" s="39" t="s">
        <v>58</v>
      </c>
      <c r="D250" s="90">
        <v>0.34499999999999997</v>
      </c>
      <c r="E250" s="90">
        <f>ROUNDDOWN(자재단가대비표!N92,0)</f>
        <v>2450</v>
      </c>
      <c r="F250" s="90">
        <f>ROUNDDOWN(D250*E250,1)</f>
        <v>845.2</v>
      </c>
      <c r="G250" s="90"/>
      <c r="H250" s="90"/>
      <c r="I250" s="90"/>
      <c r="J250" s="90"/>
      <c r="K250" s="90">
        <f t="shared" si="35"/>
        <v>2450</v>
      </c>
      <c r="L250" s="90">
        <f t="shared" si="35"/>
        <v>845.2</v>
      </c>
      <c r="M250" s="70"/>
      <c r="O250" s="31" t="s">
        <v>457</v>
      </c>
      <c r="P250" s="31" t="s">
        <v>452</v>
      </c>
      <c r="Q250" s="27">
        <v>1</v>
      </c>
    </row>
    <row r="251" spans="1:17" ht="16.5" customHeight="1">
      <c r="A251" s="88" t="s">
        <v>344</v>
      </c>
      <c r="B251" s="88" t="s">
        <v>19</v>
      </c>
      <c r="C251" s="39" t="s">
        <v>339</v>
      </c>
      <c r="D251" s="90">
        <v>3.7100000000000001E-2</v>
      </c>
      <c r="E251" s="90"/>
      <c r="F251" s="90"/>
      <c r="G251" s="90">
        <f>ROUNDDOWN(자재단가대비표!N111,0)</f>
        <v>135112</v>
      </c>
      <c r="H251" s="90">
        <f>ROUNDDOWN(D251*G251,1)</f>
        <v>5012.6000000000004</v>
      </c>
      <c r="I251" s="90"/>
      <c r="J251" s="90"/>
      <c r="K251" s="90">
        <f t="shared" si="35"/>
        <v>135112</v>
      </c>
      <c r="L251" s="90">
        <f t="shared" si="35"/>
        <v>5012.6000000000004</v>
      </c>
      <c r="M251" s="70"/>
      <c r="O251" s="31" t="s">
        <v>462</v>
      </c>
      <c r="P251" s="31" t="s">
        <v>452</v>
      </c>
      <c r="Q251" s="27">
        <v>1</v>
      </c>
    </row>
    <row r="252" spans="1:17" ht="16.5" customHeight="1">
      <c r="A252" s="88" t="s">
        <v>352</v>
      </c>
      <c r="B252" s="88" t="s">
        <v>19</v>
      </c>
      <c r="C252" s="39" t="s">
        <v>339</v>
      </c>
      <c r="D252" s="90">
        <v>1.4E-2</v>
      </c>
      <c r="E252" s="90"/>
      <c r="F252" s="90"/>
      <c r="G252" s="90">
        <f>ROUNDDOWN(자재단가대비표!N119,0)</f>
        <v>87805</v>
      </c>
      <c r="H252" s="90">
        <f>ROUNDDOWN(D252*G252,1)</f>
        <v>1229.2</v>
      </c>
      <c r="I252" s="90"/>
      <c r="J252" s="90"/>
      <c r="K252" s="90">
        <f t="shared" si="35"/>
        <v>87805</v>
      </c>
      <c r="L252" s="90">
        <f t="shared" si="35"/>
        <v>1229.2</v>
      </c>
      <c r="M252" s="70"/>
      <c r="O252" s="31" t="s">
        <v>462</v>
      </c>
      <c r="P252" s="31" t="s">
        <v>452</v>
      </c>
      <c r="Q252" s="27">
        <v>1</v>
      </c>
    </row>
    <row r="253" spans="1:17" ht="16.5" customHeight="1">
      <c r="A253" s="116" t="s">
        <v>419</v>
      </c>
      <c r="B253" s="65"/>
      <c r="C253" s="66"/>
      <c r="D253" s="67"/>
      <c r="E253" s="67"/>
      <c r="F253" s="123">
        <f>ROUNDDOWN(SUMIF($Q$249:$Q$252, 1,$F$249:$F$252),0)</f>
        <v>28670</v>
      </c>
      <c r="G253" s="67"/>
      <c r="H253" s="123">
        <f>ROUNDDOWN(SUMIF($Q$249:$Q$252, 1,$H$249:$H$252),0)</f>
        <v>6241</v>
      </c>
      <c r="I253" s="67"/>
      <c r="J253" s="123">
        <f>ROUNDDOWN(SUMIF($Q$249:$Q$252, 1,$J$249:$J$252),0)</f>
        <v>0</v>
      </c>
      <c r="K253" s="67"/>
      <c r="L253" s="123">
        <f>F253+H253+J253</f>
        <v>34911</v>
      </c>
      <c r="M253" s="69"/>
    </row>
    <row r="254" spans="1:17" ht="16.5" customHeight="1">
      <c r="A254" s="88" t="s">
        <v>643</v>
      </c>
      <c r="B254" s="88" t="s">
        <v>644</v>
      </c>
      <c r="C254" s="39" t="s">
        <v>26</v>
      </c>
      <c r="D254" s="90"/>
      <c r="E254" s="90"/>
      <c r="F254" s="90"/>
      <c r="G254" s="90"/>
      <c r="H254" s="90"/>
      <c r="I254" s="90"/>
      <c r="J254" s="90"/>
      <c r="K254" s="90"/>
      <c r="L254" s="90"/>
      <c r="M254" s="71" t="s">
        <v>477</v>
      </c>
    </row>
    <row r="255" spans="1:17" ht="16.5" customHeight="1">
      <c r="A255" s="88" t="s">
        <v>645</v>
      </c>
      <c r="B255" s="88" t="s">
        <v>646</v>
      </c>
      <c r="C255" s="39" t="s">
        <v>26</v>
      </c>
      <c r="D255" s="90">
        <v>1</v>
      </c>
      <c r="E255" s="90">
        <f>ROUNDDOWN(일위대가표!F270,0)</f>
        <v>478</v>
      </c>
      <c r="F255" s="90">
        <f>ROUNDDOWN(D255*E255,1)</f>
        <v>478</v>
      </c>
      <c r="G255" s="90">
        <f>ROUNDDOWN(일위대가표!H270,0)</f>
        <v>9202</v>
      </c>
      <c r="H255" s="90">
        <f>ROUNDDOWN(D255*G255,1)</f>
        <v>9202</v>
      </c>
      <c r="I255" s="90"/>
      <c r="J255" s="90"/>
      <c r="K255" s="90">
        <f t="shared" ref="K255:L259" si="36">E255+G255+I255</f>
        <v>9680</v>
      </c>
      <c r="L255" s="90">
        <f t="shared" si="36"/>
        <v>9680</v>
      </c>
      <c r="M255" s="71" t="s">
        <v>647</v>
      </c>
      <c r="P255" s="31" t="s">
        <v>452</v>
      </c>
      <c r="Q255" s="27">
        <v>1</v>
      </c>
    </row>
    <row r="256" spans="1:17" ht="16.5" customHeight="1">
      <c r="A256" s="88" t="s">
        <v>648</v>
      </c>
      <c r="B256" s="88" t="s">
        <v>649</v>
      </c>
      <c r="C256" s="39" t="s">
        <v>26</v>
      </c>
      <c r="D256" s="90">
        <v>1</v>
      </c>
      <c r="E256" s="90">
        <f>ROUNDDOWN(일위대가표!F276,0)</f>
        <v>3410</v>
      </c>
      <c r="F256" s="90">
        <f>ROUNDDOWN(D256*E256,1)</f>
        <v>3410</v>
      </c>
      <c r="G256" s="90">
        <f>ROUNDDOWN(일위대가표!H276,0)</f>
        <v>4104</v>
      </c>
      <c r="H256" s="90">
        <f>ROUNDDOWN(D256*G256,1)</f>
        <v>4104</v>
      </c>
      <c r="I256" s="90"/>
      <c r="J256" s="90"/>
      <c r="K256" s="90">
        <f t="shared" si="36"/>
        <v>7514</v>
      </c>
      <c r="L256" s="90">
        <f t="shared" si="36"/>
        <v>7514</v>
      </c>
      <c r="M256" s="71" t="s">
        <v>650</v>
      </c>
      <c r="P256" s="31" t="s">
        <v>452</v>
      </c>
      <c r="Q256" s="27">
        <v>1</v>
      </c>
    </row>
    <row r="257" spans="1:17" ht="16.5" customHeight="1">
      <c r="A257" s="88" t="s">
        <v>648</v>
      </c>
      <c r="B257" s="88" t="s">
        <v>629</v>
      </c>
      <c r="C257" s="39" t="s">
        <v>26</v>
      </c>
      <c r="D257" s="90">
        <v>1</v>
      </c>
      <c r="E257" s="90">
        <f>ROUNDDOWN(일위대가표!F217,0)</f>
        <v>1962</v>
      </c>
      <c r="F257" s="90">
        <f>ROUNDDOWN(D257*E257,1)</f>
        <v>1962</v>
      </c>
      <c r="G257" s="90">
        <f>ROUNDDOWN(일위대가표!H217,0)</f>
        <v>4104</v>
      </c>
      <c r="H257" s="90">
        <f>ROUNDDOWN(D257*G257,1)</f>
        <v>4104</v>
      </c>
      <c r="I257" s="90"/>
      <c r="J257" s="90"/>
      <c r="K257" s="90">
        <f t="shared" si="36"/>
        <v>6066</v>
      </c>
      <c r="L257" s="90">
        <f t="shared" si="36"/>
        <v>6066</v>
      </c>
      <c r="M257" s="71" t="s">
        <v>651</v>
      </c>
      <c r="P257" s="31" t="s">
        <v>452</v>
      </c>
      <c r="Q257" s="27">
        <v>1</v>
      </c>
    </row>
    <row r="258" spans="1:17" ht="16.5" customHeight="1">
      <c r="A258" s="88" t="s">
        <v>652</v>
      </c>
      <c r="B258" s="88" t="s">
        <v>649</v>
      </c>
      <c r="C258" s="39" t="s">
        <v>26</v>
      </c>
      <c r="D258" s="90">
        <v>1</v>
      </c>
      <c r="E258" s="90">
        <f>ROUNDDOWN(일위대가표!F282,0)</f>
        <v>3451</v>
      </c>
      <c r="F258" s="90">
        <f>ROUNDDOWN(D258*E258,1)</f>
        <v>3451</v>
      </c>
      <c r="G258" s="90">
        <f>ROUNDDOWN(일위대가표!H282,0)</f>
        <v>8208</v>
      </c>
      <c r="H258" s="90">
        <f>ROUNDDOWN(D258*G258,1)</f>
        <v>8208</v>
      </c>
      <c r="I258" s="90"/>
      <c r="J258" s="90"/>
      <c r="K258" s="90">
        <f t="shared" si="36"/>
        <v>11659</v>
      </c>
      <c r="L258" s="90">
        <f t="shared" si="36"/>
        <v>11659</v>
      </c>
      <c r="M258" s="71" t="s">
        <v>653</v>
      </c>
      <c r="P258" s="31" t="s">
        <v>452</v>
      </c>
      <c r="Q258" s="27">
        <v>1</v>
      </c>
    </row>
    <row r="259" spans="1:17" ht="16.5" customHeight="1">
      <c r="A259" s="88" t="s">
        <v>652</v>
      </c>
      <c r="B259" s="88" t="s">
        <v>629</v>
      </c>
      <c r="C259" s="39" t="s">
        <v>26</v>
      </c>
      <c r="D259" s="90">
        <v>1</v>
      </c>
      <c r="E259" s="90">
        <f>ROUNDDOWN(일위대가표!F223,0)</f>
        <v>2003</v>
      </c>
      <c r="F259" s="90">
        <f>ROUNDDOWN(D259*E259,1)</f>
        <v>2003</v>
      </c>
      <c r="G259" s="90">
        <f>ROUNDDOWN(일위대가표!H223,0)</f>
        <v>8208</v>
      </c>
      <c r="H259" s="90">
        <f>ROUNDDOWN(D259*G259,1)</f>
        <v>8208</v>
      </c>
      <c r="I259" s="90"/>
      <c r="J259" s="90"/>
      <c r="K259" s="90">
        <f t="shared" si="36"/>
        <v>10211</v>
      </c>
      <c r="L259" s="90">
        <f t="shared" si="36"/>
        <v>10211</v>
      </c>
      <c r="M259" s="71" t="s">
        <v>654</v>
      </c>
      <c r="P259" s="31" t="s">
        <v>452</v>
      </c>
      <c r="Q259" s="27">
        <v>1</v>
      </c>
    </row>
    <row r="260" spans="1:17" ht="16.5" customHeight="1">
      <c r="A260" s="116" t="s">
        <v>419</v>
      </c>
      <c r="B260" s="65"/>
      <c r="C260" s="66"/>
      <c r="D260" s="67"/>
      <c r="E260" s="67"/>
      <c r="F260" s="123">
        <f>ROUNDDOWN(SUMIF($Q$255:$Q$259, 1,$F$255:$F$259),0)</f>
        <v>11304</v>
      </c>
      <c r="G260" s="67"/>
      <c r="H260" s="123">
        <f>ROUNDDOWN(SUMIF($Q$255:$Q$259, 1,$H$255:$H$259),0)</f>
        <v>33826</v>
      </c>
      <c r="I260" s="67"/>
      <c r="J260" s="123">
        <f>ROUNDDOWN(SUMIF($Q$255:$Q$259, 1,$J$255:$J$259),0)</f>
        <v>0</v>
      </c>
      <c r="K260" s="67"/>
      <c r="L260" s="123">
        <f>F260+H260+J260</f>
        <v>45130</v>
      </c>
      <c r="M260" s="69"/>
    </row>
    <row r="261" spans="1:17" ht="16.5" customHeight="1">
      <c r="A261" s="88" t="s">
        <v>655</v>
      </c>
      <c r="B261" s="88" t="s">
        <v>646</v>
      </c>
      <c r="C261" s="39" t="s">
        <v>26</v>
      </c>
      <c r="D261" s="90"/>
      <c r="E261" s="90"/>
      <c r="F261" s="90"/>
      <c r="G261" s="90"/>
      <c r="H261" s="90"/>
      <c r="I261" s="90"/>
      <c r="J261" s="90"/>
      <c r="K261" s="90"/>
      <c r="L261" s="90"/>
      <c r="M261" s="71" t="s">
        <v>477</v>
      </c>
    </row>
    <row r="262" spans="1:17" ht="16.5" customHeight="1">
      <c r="A262" s="88" t="s">
        <v>656</v>
      </c>
      <c r="B262" s="88" t="s">
        <v>657</v>
      </c>
      <c r="C262" s="39" t="s">
        <v>34</v>
      </c>
      <c r="D262" s="90">
        <v>2.33</v>
      </c>
      <c r="E262" s="90"/>
      <c r="F262" s="90"/>
      <c r="G262" s="90"/>
      <c r="H262" s="90"/>
      <c r="I262" s="90"/>
      <c r="J262" s="90"/>
      <c r="K262" s="90">
        <f t="shared" ref="K262:L269" si="37">E262+G262+I262</f>
        <v>0</v>
      </c>
      <c r="L262" s="90">
        <f t="shared" si="37"/>
        <v>0</v>
      </c>
      <c r="M262" s="70"/>
      <c r="P262" s="31" t="s">
        <v>452</v>
      </c>
      <c r="Q262" s="27">
        <v>1</v>
      </c>
    </row>
    <row r="263" spans="1:17" ht="16.5" customHeight="1">
      <c r="A263" s="88" t="s">
        <v>658</v>
      </c>
      <c r="B263" s="88" t="s">
        <v>659</v>
      </c>
      <c r="C263" s="39" t="s">
        <v>34</v>
      </c>
      <c r="D263" s="90">
        <v>0.68</v>
      </c>
      <c r="E263" s="90"/>
      <c r="F263" s="90"/>
      <c r="G263" s="90"/>
      <c r="H263" s="90"/>
      <c r="I263" s="90"/>
      <c r="J263" s="90"/>
      <c r="K263" s="90">
        <f t="shared" si="37"/>
        <v>0</v>
      </c>
      <c r="L263" s="90">
        <f t="shared" si="37"/>
        <v>0</v>
      </c>
      <c r="M263" s="70"/>
      <c r="P263" s="31" t="s">
        <v>452</v>
      </c>
      <c r="Q263" s="27">
        <v>1</v>
      </c>
    </row>
    <row r="264" spans="1:17" ht="16.5" customHeight="1">
      <c r="A264" s="88" t="s">
        <v>660</v>
      </c>
      <c r="B264" s="88" t="s">
        <v>661</v>
      </c>
      <c r="C264" s="39" t="s">
        <v>17</v>
      </c>
      <c r="D264" s="90">
        <v>15</v>
      </c>
      <c r="E264" s="90"/>
      <c r="F264" s="90"/>
      <c r="G264" s="90"/>
      <c r="H264" s="90"/>
      <c r="I264" s="90"/>
      <c r="J264" s="90"/>
      <c r="K264" s="90">
        <f t="shared" si="37"/>
        <v>0</v>
      </c>
      <c r="L264" s="90">
        <f t="shared" si="37"/>
        <v>0</v>
      </c>
      <c r="M264" s="70"/>
      <c r="P264" s="31" t="s">
        <v>452</v>
      </c>
      <c r="Q264" s="27">
        <v>1</v>
      </c>
    </row>
    <row r="265" spans="1:17" ht="16.5" customHeight="1">
      <c r="A265" s="88" t="s">
        <v>662</v>
      </c>
      <c r="B265" s="88" t="s">
        <v>663</v>
      </c>
      <c r="C265" s="39" t="s">
        <v>664</v>
      </c>
      <c r="D265" s="90">
        <v>5</v>
      </c>
      <c r="E265" s="90"/>
      <c r="F265" s="90"/>
      <c r="G265" s="90"/>
      <c r="H265" s="90"/>
      <c r="I265" s="90"/>
      <c r="J265" s="90"/>
      <c r="K265" s="90">
        <f t="shared" si="37"/>
        <v>0</v>
      </c>
      <c r="L265" s="90">
        <f t="shared" si="37"/>
        <v>0</v>
      </c>
      <c r="M265" s="70"/>
      <c r="P265" s="31" t="s">
        <v>452</v>
      </c>
      <c r="Q265" s="27">
        <v>1</v>
      </c>
    </row>
    <row r="266" spans="1:17" ht="16.5" customHeight="1">
      <c r="A266" s="88" t="s">
        <v>259</v>
      </c>
      <c r="B266" s="88" t="s">
        <v>260</v>
      </c>
      <c r="C266" s="39" t="s">
        <v>58</v>
      </c>
      <c r="D266" s="90">
        <v>0.1</v>
      </c>
      <c r="E266" s="90">
        <f>ROUNDDOWN(자재단가대비표!N78,0)</f>
        <v>2020</v>
      </c>
      <c r="F266" s="90">
        <f>ROUNDDOWN(D266*E266,1)</f>
        <v>202</v>
      </c>
      <c r="G266" s="90"/>
      <c r="H266" s="90"/>
      <c r="I266" s="90"/>
      <c r="J266" s="90"/>
      <c r="K266" s="90">
        <f t="shared" si="37"/>
        <v>2020</v>
      </c>
      <c r="L266" s="90">
        <f t="shared" si="37"/>
        <v>202</v>
      </c>
      <c r="M266" s="70"/>
      <c r="O266" s="31" t="s">
        <v>457</v>
      </c>
      <c r="P266" s="31" t="s">
        <v>452</v>
      </c>
      <c r="Q266" s="27">
        <v>1</v>
      </c>
    </row>
    <row r="267" spans="1:17" ht="16.5" customHeight="1">
      <c r="A267" s="88" t="s">
        <v>363</v>
      </c>
      <c r="B267" s="88" t="s">
        <v>19</v>
      </c>
      <c r="C267" s="39" t="s">
        <v>339</v>
      </c>
      <c r="D267" s="90">
        <v>6.2299999999999994E-2</v>
      </c>
      <c r="E267" s="90"/>
      <c r="F267" s="90"/>
      <c r="G267" s="90">
        <f>ROUNDDOWN(자재단가대비표!N129,0)</f>
        <v>108245</v>
      </c>
      <c r="H267" s="90">
        <f>ROUNDDOWN(D267*G267,1)</f>
        <v>6743.6</v>
      </c>
      <c r="I267" s="90"/>
      <c r="J267" s="90"/>
      <c r="K267" s="90">
        <f t="shared" si="37"/>
        <v>108245</v>
      </c>
      <c r="L267" s="90">
        <f t="shared" si="37"/>
        <v>6743.6</v>
      </c>
      <c r="M267" s="70"/>
      <c r="O267" s="31" t="s">
        <v>462</v>
      </c>
      <c r="P267" s="31" t="s">
        <v>452</v>
      </c>
      <c r="Q267" s="27">
        <v>1</v>
      </c>
    </row>
    <row r="268" spans="1:17" ht="16.5" customHeight="1">
      <c r="A268" s="88" t="s">
        <v>352</v>
      </c>
      <c r="B268" s="88" t="s">
        <v>19</v>
      </c>
      <c r="C268" s="39" t="s">
        <v>339</v>
      </c>
      <c r="D268" s="90">
        <v>2.8000000000000001E-2</v>
      </c>
      <c r="E268" s="90"/>
      <c r="F268" s="90"/>
      <c r="G268" s="90">
        <f>ROUNDDOWN(자재단가대비표!N119,0)</f>
        <v>87805</v>
      </c>
      <c r="H268" s="90">
        <f>ROUNDDOWN(D268*G268,1)</f>
        <v>2458.5</v>
      </c>
      <c r="I268" s="90"/>
      <c r="J268" s="90"/>
      <c r="K268" s="90">
        <f t="shared" si="37"/>
        <v>87805</v>
      </c>
      <c r="L268" s="90">
        <f t="shared" si="37"/>
        <v>2458.5</v>
      </c>
      <c r="M268" s="70"/>
      <c r="O268" s="31" t="s">
        <v>462</v>
      </c>
      <c r="P268" s="31" t="s">
        <v>452</v>
      </c>
      <c r="Q268" s="27">
        <v>1</v>
      </c>
    </row>
    <row r="269" spans="1:17" ht="16.5" customHeight="1">
      <c r="A269" s="88" t="s">
        <v>538</v>
      </c>
      <c r="B269" s="34" t="str">
        <f>"노무비의 "&amp;N269*100&amp;"%"</f>
        <v>노무비의 3%</v>
      </c>
      <c r="C269" s="39" t="s">
        <v>459</v>
      </c>
      <c r="D269" s="94" t="s">
        <v>460</v>
      </c>
      <c r="E269" s="90">
        <f>SUMIF($O$261:O269, "02", $H$261:H269)</f>
        <v>9202.1</v>
      </c>
      <c r="F269" s="90">
        <f>ROUNDDOWN(E269*N269,1)</f>
        <v>276</v>
      </c>
      <c r="G269" s="90"/>
      <c r="H269" s="90"/>
      <c r="I269" s="90"/>
      <c r="J269" s="90"/>
      <c r="K269" s="90">
        <f t="shared" si="37"/>
        <v>9202.1</v>
      </c>
      <c r="L269" s="90">
        <f t="shared" si="37"/>
        <v>276</v>
      </c>
      <c r="M269" s="71" t="s">
        <v>539</v>
      </c>
      <c r="N269" s="32">
        <v>0.03</v>
      </c>
      <c r="P269" s="31" t="s">
        <v>452</v>
      </c>
      <c r="Q269" s="27">
        <v>1</v>
      </c>
    </row>
    <row r="270" spans="1:17" ht="16.5" customHeight="1">
      <c r="A270" s="116" t="s">
        <v>419</v>
      </c>
      <c r="B270" s="65"/>
      <c r="C270" s="66"/>
      <c r="D270" s="67"/>
      <c r="E270" s="67"/>
      <c r="F270" s="123">
        <f>ROUNDDOWN(SUMIF($Q$262:$Q$269, 1,$F$262:$F$269),0)</f>
        <v>478</v>
      </c>
      <c r="G270" s="67"/>
      <c r="H270" s="123">
        <f>ROUNDDOWN(SUMIF($Q$262:$Q$269, 1,$H$262:$H$269),0)</f>
        <v>9202</v>
      </c>
      <c r="I270" s="67"/>
      <c r="J270" s="123">
        <f>ROUNDDOWN(SUMIF($Q$262:$Q$269, 1,$J$262:$J$269),0)</f>
        <v>0</v>
      </c>
      <c r="K270" s="67"/>
      <c r="L270" s="123">
        <f>F270+H270+J270</f>
        <v>9680</v>
      </c>
      <c r="M270" s="69"/>
    </row>
    <row r="271" spans="1:17" ht="16.5" customHeight="1">
      <c r="A271" s="88" t="s">
        <v>665</v>
      </c>
      <c r="B271" s="88" t="s">
        <v>649</v>
      </c>
      <c r="C271" s="39" t="s">
        <v>26</v>
      </c>
      <c r="D271" s="90"/>
      <c r="E271" s="90"/>
      <c r="F271" s="90"/>
      <c r="G271" s="90"/>
      <c r="H271" s="90"/>
      <c r="I271" s="90"/>
      <c r="J271" s="90"/>
      <c r="K271" s="90"/>
      <c r="L271" s="90"/>
      <c r="M271" s="71" t="s">
        <v>630</v>
      </c>
    </row>
    <row r="272" spans="1:17" ht="16.5" customHeight="1">
      <c r="A272" s="88" t="s">
        <v>160</v>
      </c>
      <c r="B272" s="88" t="s">
        <v>166</v>
      </c>
      <c r="C272" s="39" t="s">
        <v>26</v>
      </c>
      <c r="D272" s="90">
        <v>1.05</v>
      </c>
      <c r="E272" s="90">
        <f>ROUNDDOWN(자재단가대비표!N47,0)</f>
        <v>3209</v>
      </c>
      <c r="F272" s="90">
        <f>ROUNDDOWN(D272*E272,1)</f>
        <v>3369.4</v>
      </c>
      <c r="G272" s="90"/>
      <c r="H272" s="90"/>
      <c r="I272" s="90"/>
      <c r="J272" s="90"/>
      <c r="K272" s="90">
        <f t="shared" ref="K272:L275" si="38">E272+G272+I272</f>
        <v>3209</v>
      </c>
      <c r="L272" s="90">
        <f t="shared" si="38"/>
        <v>3369.4</v>
      </c>
      <c r="M272" s="70"/>
      <c r="O272" s="31" t="s">
        <v>457</v>
      </c>
      <c r="P272" s="31" t="s">
        <v>452</v>
      </c>
      <c r="Q272" s="27">
        <v>1</v>
      </c>
    </row>
    <row r="273" spans="1:17" ht="16.5" customHeight="1">
      <c r="A273" s="88" t="s">
        <v>344</v>
      </c>
      <c r="B273" s="88" t="s">
        <v>19</v>
      </c>
      <c r="C273" s="39" t="s">
        <v>339</v>
      </c>
      <c r="D273" s="90">
        <v>2.3100000000000002E-2</v>
      </c>
      <c r="E273" s="90"/>
      <c r="F273" s="90"/>
      <c r="G273" s="90">
        <f>ROUNDDOWN(자재단가대비표!N111,0)</f>
        <v>135112</v>
      </c>
      <c r="H273" s="90">
        <f>ROUNDDOWN(D273*G273,1)</f>
        <v>3121</v>
      </c>
      <c r="I273" s="90"/>
      <c r="J273" s="90"/>
      <c r="K273" s="90">
        <f t="shared" si="38"/>
        <v>135112</v>
      </c>
      <c r="L273" s="90">
        <f t="shared" si="38"/>
        <v>3121</v>
      </c>
      <c r="M273" s="70"/>
      <c r="O273" s="31" t="s">
        <v>462</v>
      </c>
      <c r="P273" s="31" t="s">
        <v>452</v>
      </c>
      <c r="Q273" s="27">
        <v>1</v>
      </c>
    </row>
    <row r="274" spans="1:17" ht="16.5" customHeight="1">
      <c r="A274" s="88" t="s">
        <v>352</v>
      </c>
      <c r="B274" s="88" t="s">
        <v>19</v>
      </c>
      <c r="C274" s="39" t="s">
        <v>339</v>
      </c>
      <c r="D274" s="90">
        <v>1.12E-2</v>
      </c>
      <c r="E274" s="90"/>
      <c r="F274" s="90"/>
      <c r="G274" s="90">
        <f>ROUNDDOWN(자재단가대비표!N119,0)</f>
        <v>87805</v>
      </c>
      <c r="H274" s="90">
        <f>ROUNDDOWN(D274*G274,1)</f>
        <v>983.4</v>
      </c>
      <c r="I274" s="90"/>
      <c r="J274" s="90"/>
      <c r="K274" s="90">
        <f t="shared" si="38"/>
        <v>87805</v>
      </c>
      <c r="L274" s="90">
        <f t="shared" si="38"/>
        <v>983.4</v>
      </c>
      <c r="M274" s="70"/>
      <c r="O274" s="31" t="s">
        <v>462</v>
      </c>
      <c r="P274" s="31" t="s">
        <v>452</v>
      </c>
      <c r="Q274" s="27">
        <v>1</v>
      </c>
    </row>
    <row r="275" spans="1:17" ht="16.5" customHeight="1">
      <c r="A275" s="88" t="s">
        <v>538</v>
      </c>
      <c r="B275" s="34" t="str">
        <f>"인력품의 "&amp;N275*100&amp;"%"</f>
        <v>인력품의 1%</v>
      </c>
      <c r="C275" s="39" t="s">
        <v>459</v>
      </c>
      <c r="D275" s="94" t="s">
        <v>460</v>
      </c>
      <c r="E275" s="90">
        <f>SUMIF($O$271:O275, "02", $H$271:H275)</f>
        <v>4104.3999999999996</v>
      </c>
      <c r="F275" s="90">
        <f>ROUNDDOWN(E275*N275,1)</f>
        <v>41</v>
      </c>
      <c r="G275" s="90"/>
      <c r="H275" s="90"/>
      <c r="I275" s="90"/>
      <c r="J275" s="90"/>
      <c r="K275" s="90">
        <f t="shared" si="38"/>
        <v>4104.3999999999996</v>
      </c>
      <c r="L275" s="90">
        <f t="shared" si="38"/>
        <v>41</v>
      </c>
      <c r="M275" s="71" t="s">
        <v>539</v>
      </c>
      <c r="N275" s="32">
        <v>0.01</v>
      </c>
      <c r="P275" s="31" t="s">
        <v>452</v>
      </c>
      <c r="Q275" s="27">
        <v>1</v>
      </c>
    </row>
    <row r="276" spans="1:17" ht="16.5" customHeight="1">
      <c r="A276" s="116" t="s">
        <v>419</v>
      </c>
      <c r="B276" s="65"/>
      <c r="C276" s="66"/>
      <c r="D276" s="67"/>
      <c r="E276" s="67"/>
      <c r="F276" s="123">
        <f>ROUNDDOWN(SUMIF($Q$272:$Q$275, 1,$F$272:$F$275),0)</f>
        <v>3410</v>
      </c>
      <c r="G276" s="67"/>
      <c r="H276" s="123">
        <f>ROUNDDOWN(SUMIF($Q$272:$Q$275, 1,$H$272:$H$275),0)</f>
        <v>4104</v>
      </c>
      <c r="I276" s="67"/>
      <c r="J276" s="123">
        <f>ROUNDDOWN(SUMIF($Q$272:$Q$275, 1,$J$272:$J$275),0)</f>
        <v>0</v>
      </c>
      <c r="K276" s="67"/>
      <c r="L276" s="123">
        <f>F276+H276+J276</f>
        <v>7514</v>
      </c>
      <c r="M276" s="69"/>
    </row>
    <row r="277" spans="1:17" ht="16.5" customHeight="1">
      <c r="A277" s="88" t="s">
        <v>666</v>
      </c>
      <c r="B277" s="88" t="s">
        <v>649</v>
      </c>
      <c r="C277" s="39" t="s">
        <v>26</v>
      </c>
      <c r="D277" s="90"/>
      <c r="E277" s="90"/>
      <c r="F277" s="90"/>
      <c r="G277" s="90"/>
      <c r="H277" s="90"/>
      <c r="I277" s="90"/>
      <c r="J277" s="90"/>
      <c r="K277" s="90"/>
      <c r="L277" s="90"/>
      <c r="M277" s="71" t="s">
        <v>630</v>
      </c>
    </row>
    <row r="278" spans="1:17" ht="16.5" customHeight="1">
      <c r="A278" s="88" t="s">
        <v>160</v>
      </c>
      <c r="B278" s="88" t="s">
        <v>166</v>
      </c>
      <c r="C278" s="39" t="s">
        <v>26</v>
      </c>
      <c r="D278" s="90">
        <v>1.05</v>
      </c>
      <c r="E278" s="90">
        <f>ROUNDDOWN(자재단가대비표!N47,0)</f>
        <v>3209</v>
      </c>
      <c r="F278" s="90">
        <f>ROUNDDOWN(D278*E278,1)</f>
        <v>3369.4</v>
      </c>
      <c r="G278" s="90"/>
      <c r="H278" s="90"/>
      <c r="I278" s="90"/>
      <c r="J278" s="90"/>
      <c r="K278" s="90">
        <f t="shared" ref="K278:L281" si="39">E278+G278+I278</f>
        <v>3209</v>
      </c>
      <c r="L278" s="90">
        <f t="shared" si="39"/>
        <v>3369.4</v>
      </c>
      <c r="M278" s="70"/>
      <c r="O278" s="31" t="s">
        <v>457</v>
      </c>
      <c r="P278" s="31" t="s">
        <v>452</v>
      </c>
      <c r="Q278" s="27">
        <v>1</v>
      </c>
    </row>
    <row r="279" spans="1:17" ht="16.5" customHeight="1">
      <c r="A279" s="88" t="s">
        <v>344</v>
      </c>
      <c r="B279" s="88" t="s">
        <v>19</v>
      </c>
      <c r="C279" s="39" t="s">
        <v>339</v>
      </c>
      <c r="D279" s="90">
        <v>4.6200000000000005E-2</v>
      </c>
      <c r="E279" s="90"/>
      <c r="F279" s="90"/>
      <c r="G279" s="90">
        <f>ROUNDDOWN(자재단가대비표!N111,0)</f>
        <v>135112</v>
      </c>
      <c r="H279" s="90">
        <f>ROUNDDOWN(D279*G279,1)</f>
        <v>6242.1</v>
      </c>
      <c r="I279" s="90"/>
      <c r="J279" s="90"/>
      <c r="K279" s="90">
        <f t="shared" si="39"/>
        <v>135112</v>
      </c>
      <c r="L279" s="90">
        <f t="shared" si="39"/>
        <v>6242.1</v>
      </c>
      <c r="M279" s="70"/>
      <c r="O279" s="31" t="s">
        <v>462</v>
      </c>
      <c r="P279" s="31" t="s">
        <v>452</v>
      </c>
      <c r="Q279" s="27">
        <v>1</v>
      </c>
    </row>
    <row r="280" spans="1:17" ht="16.5" customHeight="1">
      <c r="A280" s="88" t="s">
        <v>352</v>
      </c>
      <c r="B280" s="88" t="s">
        <v>19</v>
      </c>
      <c r="C280" s="39" t="s">
        <v>339</v>
      </c>
      <c r="D280" s="90">
        <v>2.24E-2</v>
      </c>
      <c r="E280" s="90"/>
      <c r="F280" s="90"/>
      <c r="G280" s="90">
        <f>ROUNDDOWN(자재단가대비표!N119,0)</f>
        <v>87805</v>
      </c>
      <c r="H280" s="90">
        <f>ROUNDDOWN(D280*G280,1)</f>
        <v>1966.8</v>
      </c>
      <c r="I280" s="90"/>
      <c r="J280" s="90"/>
      <c r="K280" s="90">
        <f t="shared" si="39"/>
        <v>87805</v>
      </c>
      <c r="L280" s="90">
        <f t="shared" si="39"/>
        <v>1966.8</v>
      </c>
      <c r="M280" s="70"/>
      <c r="O280" s="31" t="s">
        <v>462</v>
      </c>
      <c r="P280" s="31" t="s">
        <v>452</v>
      </c>
      <c r="Q280" s="27">
        <v>1</v>
      </c>
    </row>
    <row r="281" spans="1:17" ht="16.5" customHeight="1">
      <c r="A281" s="88" t="s">
        <v>538</v>
      </c>
      <c r="B281" s="34" t="str">
        <f>"인력품의 "&amp;N281*100&amp;"%"</f>
        <v>인력품의 1%</v>
      </c>
      <c r="C281" s="39" t="s">
        <v>459</v>
      </c>
      <c r="D281" s="94" t="s">
        <v>460</v>
      </c>
      <c r="E281" s="90">
        <f>SUMIF($O$277:O281, "02", $H$277:H281)</f>
        <v>8208.9</v>
      </c>
      <c r="F281" s="90">
        <f>ROUNDDOWN(E281*N281,1)</f>
        <v>82</v>
      </c>
      <c r="G281" s="90"/>
      <c r="H281" s="90"/>
      <c r="I281" s="90"/>
      <c r="J281" s="90"/>
      <c r="K281" s="90">
        <f t="shared" si="39"/>
        <v>8208.9</v>
      </c>
      <c r="L281" s="90">
        <f t="shared" si="39"/>
        <v>82</v>
      </c>
      <c r="M281" s="71" t="s">
        <v>539</v>
      </c>
      <c r="N281" s="32">
        <v>0.01</v>
      </c>
      <c r="P281" s="31" t="s">
        <v>452</v>
      </c>
      <c r="Q281" s="27">
        <v>1</v>
      </c>
    </row>
    <row r="282" spans="1:17" ht="16.5" customHeight="1">
      <c r="A282" s="116" t="s">
        <v>419</v>
      </c>
      <c r="B282" s="65"/>
      <c r="C282" s="66"/>
      <c r="D282" s="67"/>
      <c r="E282" s="67"/>
      <c r="F282" s="123">
        <f>ROUNDDOWN(SUMIF($Q$278:$Q$281, 1,$F$278:$F$281),0)</f>
        <v>3451</v>
      </c>
      <c r="G282" s="67"/>
      <c r="H282" s="123">
        <f>ROUNDDOWN(SUMIF($Q$278:$Q$281, 1,$H$278:$H$281),0)</f>
        <v>8208</v>
      </c>
      <c r="I282" s="67"/>
      <c r="J282" s="123">
        <f>ROUNDDOWN(SUMIF($Q$278:$Q$281, 1,$J$278:$J$281),0)</f>
        <v>0</v>
      </c>
      <c r="K282" s="67"/>
      <c r="L282" s="123">
        <f>F282+H282+J282</f>
        <v>11659</v>
      </c>
      <c r="M282" s="69"/>
    </row>
    <row r="283" spans="1:17" ht="16.5" customHeight="1">
      <c r="A283" s="88" t="s">
        <v>667</v>
      </c>
      <c r="B283" s="88" t="s">
        <v>668</v>
      </c>
      <c r="C283" s="39" t="s">
        <v>26</v>
      </c>
      <c r="D283" s="90"/>
      <c r="E283" s="90"/>
      <c r="F283" s="90"/>
      <c r="G283" s="90"/>
      <c r="H283" s="90"/>
      <c r="I283" s="90"/>
      <c r="J283" s="90"/>
      <c r="K283" s="90"/>
      <c r="L283" s="90"/>
      <c r="M283" s="71" t="s">
        <v>19</v>
      </c>
    </row>
    <row r="284" spans="1:17" ht="16.5" customHeight="1">
      <c r="A284" s="88" t="s">
        <v>24</v>
      </c>
      <c r="B284" s="88" t="s">
        <v>25</v>
      </c>
      <c r="C284" s="39" t="s">
        <v>26</v>
      </c>
      <c r="D284" s="90">
        <v>1.05</v>
      </c>
      <c r="E284" s="90">
        <f>ROUNDDOWN(자재단가대비표!N10,0)</f>
        <v>41000</v>
      </c>
      <c r="F284" s="90">
        <f>ROUNDDOWN(D284*E284,1)</f>
        <v>43050</v>
      </c>
      <c r="G284" s="90"/>
      <c r="H284" s="90"/>
      <c r="I284" s="90"/>
      <c r="J284" s="90"/>
      <c r="K284" s="90">
        <f t="shared" ref="K284:L288" si="40">E284+G284+I284</f>
        <v>41000</v>
      </c>
      <c r="L284" s="90">
        <f t="shared" si="40"/>
        <v>43050</v>
      </c>
      <c r="M284" s="70"/>
      <c r="O284" s="31" t="s">
        <v>457</v>
      </c>
      <c r="P284" s="31" t="s">
        <v>452</v>
      </c>
      <c r="Q284" s="27">
        <v>1</v>
      </c>
    </row>
    <row r="285" spans="1:17" ht="16.5" customHeight="1">
      <c r="A285" s="88" t="s">
        <v>669</v>
      </c>
      <c r="B285" s="88" t="s">
        <v>670</v>
      </c>
      <c r="C285" s="39" t="s">
        <v>34</v>
      </c>
      <c r="D285" s="90">
        <v>3.05</v>
      </c>
      <c r="E285" s="90">
        <v>1600</v>
      </c>
      <c r="F285" s="90">
        <f>ROUNDDOWN(D285*E285,1)</f>
        <v>4880</v>
      </c>
      <c r="G285" s="90"/>
      <c r="H285" s="90"/>
      <c r="I285" s="90"/>
      <c r="J285" s="90"/>
      <c r="K285" s="90">
        <f t="shared" si="40"/>
        <v>1600</v>
      </c>
      <c r="L285" s="90">
        <f t="shared" si="40"/>
        <v>4880</v>
      </c>
      <c r="M285" s="70"/>
      <c r="O285" s="31" t="s">
        <v>457</v>
      </c>
      <c r="P285" s="31" t="s">
        <v>452</v>
      </c>
      <c r="Q285" s="27">
        <v>1</v>
      </c>
    </row>
    <row r="286" spans="1:17" ht="16.5" customHeight="1">
      <c r="A286" s="88" t="s">
        <v>306</v>
      </c>
      <c r="B286" s="88" t="s">
        <v>308</v>
      </c>
      <c r="C286" s="39" t="s">
        <v>58</v>
      </c>
      <c r="D286" s="90">
        <v>0.28000000000000003</v>
      </c>
      <c r="E286" s="90">
        <f>ROUNDDOWN(자재단가대비표!N93,0)</f>
        <v>1930</v>
      </c>
      <c r="F286" s="90">
        <f>ROUNDDOWN(D286*E286,1)</f>
        <v>540.4</v>
      </c>
      <c r="G286" s="90"/>
      <c r="H286" s="90"/>
      <c r="I286" s="90"/>
      <c r="J286" s="90"/>
      <c r="K286" s="90">
        <f t="shared" si="40"/>
        <v>1930</v>
      </c>
      <c r="L286" s="90">
        <f t="shared" si="40"/>
        <v>540.4</v>
      </c>
      <c r="M286" s="70"/>
      <c r="O286" s="31" t="s">
        <v>457</v>
      </c>
      <c r="P286" s="31" t="s">
        <v>452</v>
      </c>
      <c r="Q286" s="27">
        <v>1</v>
      </c>
    </row>
    <row r="287" spans="1:17" ht="16.5" customHeight="1">
      <c r="A287" s="88" t="s">
        <v>344</v>
      </c>
      <c r="B287" s="88" t="s">
        <v>19</v>
      </c>
      <c r="C287" s="39" t="s">
        <v>339</v>
      </c>
      <c r="D287" s="90">
        <v>5.6000000000000001E-2</v>
      </c>
      <c r="E287" s="90"/>
      <c r="F287" s="90"/>
      <c r="G287" s="90">
        <f>ROUNDDOWN(자재단가대비표!N111,0)</f>
        <v>135112</v>
      </c>
      <c r="H287" s="90">
        <f>ROUNDDOWN(D287*G287,1)</f>
        <v>7566.2</v>
      </c>
      <c r="I287" s="90"/>
      <c r="J287" s="90"/>
      <c r="K287" s="90">
        <f t="shared" si="40"/>
        <v>135112</v>
      </c>
      <c r="L287" s="90">
        <f t="shared" si="40"/>
        <v>7566.2</v>
      </c>
      <c r="M287" s="70"/>
      <c r="O287" s="31" t="s">
        <v>462</v>
      </c>
      <c r="P287" s="31" t="s">
        <v>452</v>
      </c>
      <c r="Q287" s="27">
        <v>1</v>
      </c>
    </row>
    <row r="288" spans="1:17" ht="16.5" customHeight="1">
      <c r="A288" s="88" t="s">
        <v>538</v>
      </c>
      <c r="B288" s="34" t="str">
        <f>"노무비의 "&amp;N288*100&amp;"%"</f>
        <v>노무비의 3%</v>
      </c>
      <c r="C288" s="39" t="s">
        <v>459</v>
      </c>
      <c r="D288" s="94" t="s">
        <v>460</v>
      </c>
      <c r="E288" s="90">
        <f>SUMIF($O$283:O288, "02", $H$283:H288)</f>
        <v>7566.2</v>
      </c>
      <c r="F288" s="90">
        <f>ROUNDDOWN(E288*N288,1)</f>
        <v>226.9</v>
      </c>
      <c r="G288" s="90"/>
      <c r="H288" s="90"/>
      <c r="I288" s="90"/>
      <c r="J288" s="90"/>
      <c r="K288" s="90">
        <f t="shared" si="40"/>
        <v>7566.2</v>
      </c>
      <c r="L288" s="90">
        <f t="shared" si="40"/>
        <v>226.9</v>
      </c>
      <c r="M288" s="71" t="s">
        <v>539</v>
      </c>
      <c r="N288" s="32">
        <v>0.03</v>
      </c>
      <c r="P288" s="31" t="s">
        <v>452</v>
      </c>
      <c r="Q288" s="27">
        <v>1</v>
      </c>
    </row>
    <row r="289" spans="1:17" ht="16.5" customHeight="1">
      <c r="A289" s="116" t="s">
        <v>419</v>
      </c>
      <c r="B289" s="65"/>
      <c r="C289" s="66"/>
      <c r="D289" s="67"/>
      <c r="E289" s="67"/>
      <c r="F289" s="123">
        <f>ROUNDDOWN(SUMIF($Q$284:$Q$288, 1,$F$284:$F$288),0)</f>
        <v>48697</v>
      </c>
      <c r="G289" s="67"/>
      <c r="H289" s="123">
        <f>ROUNDDOWN(SUMIF($Q$284:$Q$288, 1,$H$284:$H$288),0)</f>
        <v>7566</v>
      </c>
      <c r="I289" s="67"/>
      <c r="J289" s="123">
        <f>ROUNDDOWN(SUMIF($Q$284:$Q$288, 1,$J$284:$J$288),0)</f>
        <v>0</v>
      </c>
      <c r="K289" s="67"/>
      <c r="L289" s="123">
        <f>F289+H289+J289</f>
        <v>56263</v>
      </c>
      <c r="M289" s="69"/>
    </row>
    <row r="290" spans="1:17" ht="16.5" customHeight="1">
      <c r="A290" s="88" t="s">
        <v>671</v>
      </c>
      <c r="B290" s="88" t="s">
        <v>672</v>
      </c>
      <c r="C290" s="39" t="s">
        <v>34</v>
      </c>
      <c r="D290" s="90"/>
      <c r="E290" s="90"/>
      <c r="F290" s="90"/>
      <c r="G290" s="90"/>
      <c r="H290" s="90"/>
      <c r="I290" s="90"/>
      <c r="J290" s="90"/>
      <c r="K290" s="90"/>
      <c r="L290" s="90"/>
      <c r="M290" s="71" t="s">
        <v>673</v>
      </c>
    </row>
    <row r="291" spans="1:17" ht="16.5" customHeight="1">
      <c r="A291" s="88" t="s">
        <v>123</v>
      </c>
      <c r="B291" s="88" t="s">
        <v>124</v>
      </c>
      <c r="C291" s="39" t="s">
        <v>34</v>
      </c>
      <c r="D291" s="90">
        <v>1.1000000000000001</v>
      </c>
      <c r="E291" s="90">
        <f>ROUNDDOWN(자재단가대비표!N33,0)</f>
        <v>1890</v>
      </c>
      <c r="F291" s="90">
        <f>ROUNDDOWN(D291*E291,1)</f>
        <v>2079</v>
      </c>
      <c r="G291" s="90"/>
      <c r="H291" s="90"/>
      <c r="I291" s="90"/>
      <c r="J291" s="90"/>
      <c r="K291" s="90">
        <f t="shared" ref="K291:L294" si="41">E291+G291+I291</f>
        <v>1890</v>
      </c>
      <c r="L291" s="90">
        <f t="shared" si="41"/>
        <v>2079</v>
      </c>
      <c r="M291" s="71" t="s">
        <v>126</v>
      </c>
      <c r="O291" s="31" t="s">
        <v>457</v>
      </c>
      <c r="P291" s="31" t="s">
        <v>452</v>
      </c>
      <c r="Q291" s="27">
        <v>1</v>
      </c>
    </row>
    <row r="292" spans="1:17" ht="16.5" customHeight="1">
      <c r="A292" s="88" t="s">
        <v>674</v>
      </c>
      <c r="B292" s="34" t="str">
        <f>"재료비의 "&amp;N292*100&amp;"%"</f>
        <v>재료비의 5%</v>
      </c>
      <c r="C292" s="39" t="s">
        <v>459</v>
      </c>
      <c r="D292" s="94" t="s">
        <v>460</v>
      </c>
      <c r="E292" s="90">
        <f>SUMIF($O$290:O294, "01", $F$290:F294)</f>
        <v>2079</v>
      </c>
      <c r="F292" s="90">
        <f>ROUNDDOWN(E292*N292,1)</f>
        <v>103.9</v>
      </c>
      <c r="G292" s="90"/>
      <c r="H292" s="90"/>
      <c r="I292" s="90"/>
      <c r="J292" s="90"/>
      <c r="K292" s="90">
        <f t="shared" si="41"/>
        <v>2079</v>
      </c>
      <c r="L292" s="90">
        <f t="shared" si="41"/>
        <v>103.9</v>
      </c>
      <c r="M292" s="70"/>
      <c r="N292" s="32">
        <v>0.05</v>
      </c>
      <c r="P292" s="31" t="s">
        <v>452</v>
      </c>
      <c r="Q292" s="27">
        <v>1</v>
      </c>
    </row>
    <row r="293" spans="1:17" ht="16.5" customHeight="1">
      <c r="A293" s="88" t="s">
        <v>344</v>
      </c>
      <c r="B293" s="88" t="s">
        <v>19</v>
      </c>
      <c r="C293" s="39" t="s">
        <v>339</v>
      </c>
      <c r="D293" s="90">
        <v>2.5499999999999998E-2</v>
      </c>
      <c r="E293" s="90"/>
      <c r="F293" s="90"/>
      <c r="G293" s="90">
        <f>ROUNDDOWN(자재단가대비표!N111,0)</f>
        <v>135112</v>
      </c>
      <c r="H293" s="90">
        <f>ROUNDDOWN(D293*G293,1)</f>
        <v>3445.3</v>
      </c>
      <c r="I293" s="90"/>
      <c r="J293" s="90"/>
      <c r="K293" s="90">
        <f t="shared" si="41"/>
        <v>135112</v>
      </c>
      <c r="L293" s="90">
        <f t="shared" si="41"/>
        <v>3445.3</v>
      </c>
      <c r="M293" s="70"/>
      <c r="O293" s="31" t="s">
        <v>462</v>
      </c>
      <c r="P293" s="31" t="s">
        <v>452</v>
      </c>
      <c r="Q293" s="27">
        <v>1</v>
      </c>
    </row>
    <row r="294" spans="1:17" ht="16.5" customHeight="1">
      <c r="A294" s="88" t="s">
        <v>538</v>
      </c>
      <c r="B294" s="34" t="str">
        <f>"노무비의 "&amp;N294*100&amp;"%"</f>
        <v>노무비의 3%</v>
      </c>
      <c r="C294" s="39" t="s">
        <v>459</v>
      </c>
      <c r="D294" s="94" t="s">
        <v>460</v>
      </c>
      <c r="E294" s="90">
        <f>SUMIF($O$290:O294, "02", $H$290:H294)</f>
        <v>3445.3</v>
      </c>
      <c r="F294" s="90">
        <f>ROUNDDOWN(E294*N294,1)</f>
        <v>103.3</v>
      </c>
      <c r="G294" s="90"/>
      <c r="H294" s="90"/>
      <c r="I294" s="90"/>
      <c r="J294" s="90"/>
      <c r="K294" s="90">
        <f t="shared" si="41"/>
        <v>3445.3</v>
      </c>
      <c r="L294" s="90">
        <f t="shared" si="41"/>
        <v>103.3</v>
      </c>
      <c r="M294" s="71" t="s">
        <v>539</v>
      </c>
      <c r="N294" s="32">
        <v>0.03</v>
      </c>
      <c r="P294" s="31" t="s">
        <v>452</v>
      </c>
      <c r="Q294" s="27">
        <v>1</v>
      </c>
    </row>
    <row r="295" spans="1:17" ht="16.5" customHeight="1">
      <c r="A295" s="116" t="s">
        <v>419</v>
      </c>
      <c r="B295" s="65"/>
      <c r="C295" s="66"/>
      <c r="D295" s="67"/>
      <c r="E295" s="67"/>
      <c r="F295" s="123">
        <f>ROUNDDOWN(SUMIF($Q$291:$Q$294, 1,$F$291:$F$294),0)</f>
        <v>2286</v>
      </c>
      <c r="G295" s="67"/>
      <c r="H295" s="123">
        <f>ROUNDDOWN(SUMIF($Q$291:$Q$294, 1,$H$291:$H$294),0)</f>
        <v>3445</v>
      </c>
      <c r="I295" s="67"/>
      <c r="J295" s="123">
        <f>ROUNDDOWN(SUMIF($Q$291:$Q$294, 1,$J$291:$J$294),0)</f>
        <v>0</v>
      </c>
      <c r="K295" s="67"/>
      <c r="L295" s="123">
        <f>F295+H295+J295</f>
        <v>5731</v>
      </c>
      <c r="M295" s="69"/>
    </row>
    <row r="296" spans="1:17" ht="16.5" customHeight="1">
      <c r="A296" s="88" t="s">
        <v>675</v>
      </c>
      <c r="B296" s="88" t="s">
        <v>676</v>
      </c>
      <c r="C296" s="39" t="s">
        <v>34</v>
      </c>
      <c r="D296" s="90"/>
      <c r="E296" s="90"/>
      <c r="F296" s="90"/>
      <c r="G296" s="90"/>
      <c r="H296" s="90"/>
      <c r="I296" s="90"/>
      <c r="J296" s="90"/>
      <c r="K296" s="90"/>
      <c r="L296" s="90"/>
      <c r="M296" s="71" t="s">
        <v>477</v>
      </c>
    </row>
    <row r="297" spans="1:17" ht="16.5" customHeight="1">
      <c r="A297" s="88" t="s">
        <v>127</v>
      </c>
      <c r="B297" s="88" t="s">
        <v>128</v>
      </c>
      <c r="C297" s="39" t="s">
        <v>34</v>
      </c>
      <c r="D297" s="90">
        <v>1.1000000000000001</v>
      </c>
      <c r="E297" s="90">
        <f>ROUNDDOWN(자재단가대비표!N34,0)</f>
        <v>2500</v>
      </c>
      <c r="F297" s="90">
        <f>ROUNDDOWN(D297*E297,1)</f>
        <v>2750</v>
      </c>
      <c r="G297" s="90"/>
      <c r="H297" s="90"/>
      <c r="I297" s="90"/>
      <c r="J297" s="90"/>
      <c r="K297" s="90">
        <f t="shared" ref="K297:L300" si="42">E297+G297+I297</f>
        <v>2500</v>
      </c>
      <c r="L297" s="90">
        <f t="shared" si="42"/>
        <v>2750</v>
      </c>
      <c r="M297" s="70"/>
      <c r="O297" s="31" t="s">
        <v>457</v>
      </c>
      <c r="P297" s="31" t="s">
        <v>452</v>
      </c>
      <c r="Q297" s="27">
        <v>1</v>
      </c>
    </row>
    <row r="298" spans="1:17" ht="16.5" customHeight="1">
      <c r="A298" s="88" t="s">
        <v>309</v>
      </c>
      <c r="B298" s="88" t="s">
        <v>310</v>
      </c>
      <c r="C298" s="39" t="s">
        <v>58</v>
      </c>
      <c r="D298" s="90">
        <v>1.44E-2</v>
      </c>
      <c r="E298" s="90">
        <f>ROUNDDOWN(자재단가대비표!N94,1)</f>
        <v>850</v>
      </c>
      <c r="F298" s="90">
        <f>ROUNDDOWN(D298*E298,1)</f>
        <v>12.2</v>
      </c>
      <c r="G298" s="90"/>
      <c r="H298" s="90"/>
      <c r="I298" s="90"/>
      <c r="J298" s="90"/>
      <c r="K298" s="90">
        <f t="shared" si="42"/>
        <v>850</v>
      </c>
      <c r="L298" s="90">
        <f t="shared" si="42"/>
        <v>12.2</v>
      </c>
      <c r="M298" s="70"/>
      <c r="O298" s="31" t="s">
        <v>457</v>
      </c>
      <c r="P298" s="31" t="s">
        <v>452</v>
      </c>
      <c r="Q298" s="27">
        <v>1</v>
      </c>
    </row>
    <row r="299" spans="1:17" ht="16.5" customHeight="1">
      <c r="A299" s="88" t="s">
        <v>341</v>
      </c>
      <c r="B299" s="88" t="s">
        <v>19</v>
      </c>
      <c r="C299" s="39" t="s">
        <v>339</v>
      </c>
      <c r="D299" s="90">
        <v>2.01E-2</v>
      </c>
      <c r="E299" s="90"/>
      <c r="F299" s="90"/>
      <c r="G299" s="90">
        <f>ROUNDDOWN(자재단가대비표!N109,0)</f>
        <v>139327</v>
      </c>
      <c r="H299" s="90">
        <f>ROUNDDOWN(D299*G299,1)</f>
        <v>2800.4</v>
      </c>
      <c r="I299" s="90"/>
      <c r="J299" s="90"/>
      <c r="K299" s="90">
        <f t="shared" si="42"/>
        <v>139327</v>
      </c>
      <c r="L299" s="90">
        <f t="shared" si="42"/>
        <v>2800.4</v>
      </c>
      <c r="M299" s="70"/>
      <c r="O299" s="31" t="s">
        <v>462</v>
      </c>
      <c r="P299" s="31" t="s">
        <v>452</v>
      </c>
      <c r="Q299" s="27">
        <v>1</v>
      </c>
    </row>
    <row r="300" spans="1:17" ht="16.5" customHeight="1">
      <c r="A300" s="88" t="s">
        <v>352</v>
      </c>
      <c r="B300" s="88" t="s">
        <v>19</v>
      </c>
      <c r="C300" s="39" t="s">
        <v>339</v>
      </c>
      <c r="D300" s="90">
        <v>4.4000000000000003E-3</v>
      </c>
      <c r="E300" s="90"/>
      <c r="F300" s="90"/>
      <c r="G300" s="90">
        <f>ROUNDDOWN(자재단가대비표!N119,0)</f>
        <v>87805</v>
      </c>
      <c r="H300" s="90">
        <f>ROUNDDOWN(D300*G300,1)</f>
        <v>386.3</v>
      </c>
      <c r="I300" s="90"/>
      <c r="J300" s="90"/>
      <c r="K300" s="90">
        <f t="shared" si="42"/>
        <v>87805</v>
      </c>
      <c r="L300" s="90">
        <f t="shared" si="42"/>
        <v>386.3</v>
      </c>
      <c r="M300" s="70"/>
      <c r="O300" s="31" t="s">
        <v>462</v>
      </c>
      <c r="P300" s="31" t="s">
        <v>452</v>
      </c>
      <c r="Q300" s="27">
        <v>1</v>
      </c>
    </row>
    <row r="301" spans="1:17" ht="16.5" customHeight="1">
      <c r="A301" s="116" t="s">
        <v>419</v>
      </c>
      <c r="B301" s="65"/>
      <c r="C301" s="66"/>
      <c r="D301" s="67"/>
      <c r="E301" s="67"/>
      <c r="F301" s="123">
        <f>ROUNDDOWN(SUMIF($Q$297:$Q$300, 1,$F$297:$F$300),0)</f>
        <v>2762</v>
      </c>
      <c r="G301" s="67"/>
      <c r="H301" s="123">
        <f>ROUNDDOWN(SUMIF($Q$297:$Q$300, 1,$H$297:$H$300),0)</f>
        <v>3186</v>
      </c>
      <c r="I301" s="67"/>
      <c r="J301" s="123">
        <f>ROUNDDOWN(SUMIF($Q$297:$Q$300, 1,$J$297:$J$300),0)</f>
        <v>0</v>
      </c>
      <c r="K301" s="67"/>
      <c r="L301" s="123">
        <f>F301+H301+J301</f>
        <v>5948</v>
      </c>
      <c r="M301" s="69"/>
    </row>
    <row r="302" spans="1:17" ht="16.5" customHeight="1">
      <c r="A302" s="88" t="s">
        <v>903</v>
      </c>
      <c r="B302" s="88" t="s">
        <v>904</v>
      </c>
      <c r="C302" s="39" t="s">
        <v>237</v>
      </c>
      <c r="D302" s="90"/>
      <c r="E302" s="90"/>
      <c r="F302" s="90"/>
      <c r="G302" s="90"/>
      <c r="H302" s="90"/>
      <c r="I302" s="90"/>
      <c r="J302" s="90"/>
      <c r="K302" s="90"/>
      <c r="L302" s="90"/>
      <c r="M302" s="71" t="s">
        <v>19</v>
      </c>
    </row>
    <row r="303" spans="1:17" ht="16.5" customHeight="1">
      <c r="A303" s="88" t="s">
        <v>789</v>
      </c>
      <c r="B303" s="88" t="s">
        <v>905</v>
      </c>
      <c r="C303" s="39" t="s">
        <v>26</v>
      </c>
      <c r="D303" s="90">
        <v>1</v>
      </c>
      <c r="E303" s="90">
        <f>ROUNDDOWN(일위대가표!F312,0)</f>
        <v>689</v>
      </c>
      <c r="F303" s="90">
        <f>ROUNDDOWN(D303*E303,1)</f>
        <v>689</v>
      </c>
      <c r="G303" s="90">
        <f>ROUNDDOWN(일위대가표!H312,0)</f>
        <v>3213</v>
      </c>
      <c r="H303" s="90">
        <f>ROUNDDOWN(D303*G303,1)</f>
        <v>3213</v>
      </c>
      <c r="I303" s="90"/>
      <c r="J303" s="90"/>
      <c r="K303" s="90">
        <f>E303+G303+I303</f>
        <v>3902</v>
      </c>
      <c r="L303" s="90">
        <f>F303+H303+J303</f>
        <v>3902</v>
      </c>
      <c r="M303" s="71" t="s">
        <v>788</v>
      </c>
      <c r="P303" s="31" t="s">
        <v>452</v>
      </c>
      <c r="Q303" s="27">
        <v>1</v>
      </c>
    </row>
    <row r="304" spans="1:17" ht="16.5" customHeight="1">
      <c r="A304" s="88" t="s">
        <v>682</v>
      </c>
      <c r="B304" s="88" t="s">
        <v>906</v>
      </c>
      <c r="C304" s="39" t="s">
        <v>26</v>
      </c>
      <c r="D304" s="90">
        <v>1</v>
      </c>
      <c r="E304" s="90">
        <f>ROUNDDOWN(일위대가표!F324,0)</f>
        <v>49</v>
      </c>
      <c r="F304" s="90">
        <f>ROUNDDOWN(D304*E304,1)</f>
        <v>49</v>
      </c>
      <c r="G304" s="90">
        <f>ROUNDDOWN(일위대가표!H324,0)</f>
        <v>916</v>
      </c>
      <c r="H304" s="90">
        <f>ROUNDDOWN(D304*G304,1)</f>
        <v>916</v>
      </c>
      <c r="I304" s="90"/>
      <c r="J304" s="90"/>
      <c r="K304" s="90">
        <f>E304+G304+I304</f>
        <v>965</v>
      </c>
      <c r="L304" s="90">
        <f>F304+H304+J304</f>
        <v>965</v>
      </c>
      <c r="M304" s="71" t="s">
        <v>790</v>
      </c>
      <c r="P304" s="31" t="s">
        <v>452</v>
      </c>
      <c r="Q304" s="27">
        <v>1</v>
      </c>
    </row>
    <row r="305" spans="1:17" ht="16.5" customHeight="1">
      <c r="A305" s="116" t="s">
        <v>419</v>
      </c>
      <c r="B305" s="65"/>
      <c r="C305" s="66"/>
      <c r="D305" s="67"/>
      <c r="E305" s="67"/>
      <c r="F305" s="123">
        <f>ROUNDDOWN(SUMIF($Q$303:$Q$304, 1,$F$303:$F$304),0)</f>
        <v>738</v>
      </c>
      <c r="G305" s="67"/>
      <c r="H305" s="123">
        <f>ROUNDDOWN(SUMIF($Q$303:$Q$304, 1,$H$303:$H$304),0)</f>
        <v>4129</v>
      </c>
      <c r="I305" s="67"/>
      <c r="J305" s="123">
        <f>ROUNDDOWN(SUMIF($Q$303:$Q$304, 1,$J$303:$J$304),0)</f>
        <v>0</v>
      </c>
      <c r="K305" s="67"/>
      <c r="L305" s="123">
        <f>F305+H305+J305</f>
        <v>4867</v>
      </c>
      <c r="M305" s="69"/>
    </row>
    <row r="306" spans="1:17" ht="16.5" customHeight="1">
      <c r="A306" s="88" t="s">
        <v>680</v>
      </c>
      <c r="B306" s="88" t="s">
        <v>905</v>
      </c>
      <c r="C306" s="39" t="s">
        <v>26</v>
      </c>
      <c r="D306" s="90"/>
      <c r="E306" s="90"/>
      <c r="F306" s="90"/>
      <c r="G306" s="90"/>
      <c r="H306" s="90"/>
      <c r="I306" s="90"/>
      <c r="J306" s="90"/>
      <c r="K306" s="90"/>
      <c r="L306" s="90"/>
      <c r="M306" s="71" t="s">
        <v>681</v>
      </c>
    </row>
    <row r="307" spans="1:17" ht="16.5" customHeight="1">
      <c r="A307" s="88" t="s">
        <v>682</v>
      </c>
      <c r="B307" s="88" t="s">
        <v>683</v>
      </c>
      <c r="C307" s="39" t="s">
        <v>26</v>
      </c>
      <c r="D307" s="90">
        <v>1</v>
      </c>
      <c r="E307" s="90">
        <f>ROUNDDOWN(일위대가표!F318,0)</f>
        <v>174</v>
      </c>
      <c r="F307" s="90">
        <f>ROUNDDOWN(D307*E307,1)</f>
        <v>174</v>
      </c>
      <c r="G307" s="90">
        <f>ROUNDDOWN(일위대가표!H318,0)</f>
        <v>916</v>
      </c>
      <c r="H307" s="90">
        <f>ROUNDDOWN(D307*G307,1)</f>
        <v>916</v>
      </c>
      <c r="I307" s="90"/>
      <c r="J307" s="90"/>
      <c r="K307" s="90">
        <f t="shared" ref="K307:L311" si="43">E307+G307+I307</f>
        <v>1090</v>
      </c>
      <c r="L307" s="90">
        <f t="shared" si="43"/>
        <v>1090</v>
      </c>
      <c r="M307" s="71" t="s">
        <v>684</v>
      </c>
      <c r="P307" s="31" t="s">
        <v>452</v>
      </c>
      <c r="Q307" s="27">
        <v>1</v>
      </c>
    </row>
    <row r="308" spans="1:17" ht="16.5" customHeight="1">
      <c r="A308" s="88" t="s">
        <v>187</v>
      </c>
      <c r="B308" s="88" t="s">
        <v>188</v>
      </c>
      <c r="C308" s="39" t="s">
        <v>72</v>
      </c>
      <c r="D308" s="90">
        <v>0.19700000000000001</v>
      </c>
      <c r="E308" s="90">
        <f>ROUNDDOWN(자재단가대비표!N55,0)</f>
        <v>2470</v>
      </c>
      <c r="F308" s="90">
        <f>ROUNDDOWN(D308*E308,1)</f>
        <v>486.5</v>
      </c>
      <c r="G308" s="90"/>
      <c r="H308" s="90"/>
      <c r="I308" s="90"/>
      <c r="J308" s="90"/>
      <c r="K308" s="90">
        <f t="shared" si="43"/>
        <v>2470</v>
      </c>
      <c r="L308" s="90">
        <f t="shared" si="43"/>
        <v>486.5</v>
      </c>
      <c r="M308" s="70"/>
      <c r="O308" s="31" t="s">
        <v>685</v>
      </c>
      <c r="P308" s="31" t="s">
        <v>452</v>
      </c>
      <c r="Q308" s="27">
        <v>1</v>
      </c>
    </row>
    <row r="309" spans="1:17" ht="16.5" customHeight="1">
      <c r="A309" s="88" t="s">
        <v>674</v>
      </c>
      <c r="B309" s="34" t="str">
        <f>"주재료비의 "&amp;N309*100&amp;"%"</f>
        <v>주재료비의 6%</v>
      </c>
      <c r="C309" s="39" t="s">
        <v>459</v>
      </c>
      <c r="D309" s="94" t="s">
        <v>460</v>
      </c>
      <c r="E309" s="90">
        <f>SUMIF($O$306:O311, "05", $F$306:F311)</f>
        <v>486.5</v>
      </c>
      <c r="F309" s="90">
        <f>ROUNDDOWN(E309*N309,1)</f>
        <v>29.1</v>
      </c>
      <c r="G309" s="90"/>
      <c r="H309" s="90"/>
      <c r="I309" s="90"/>
      <c r="J309" s="90"/>
      <c r="K309" s="90">
        <f t="shared" si="43"/>
        <v>486.5</v>
      </c>
      <c r="L309" s="90">
        <f t="shared" si="43"/>
        <v>29.1</v>
      </c>
      <c r="M309" s="70"/>
      <c r="N309" s="32">
        <v>0.06</v>
      </c>
      <c r="P309" s="31" t="s">
        <v>452</v>
      </c>
      <c r="Q309" s="27">
        <v>1</v>
      </c>
    </row>
    <row r="310" spans="1:17" ht="16.5" customHeight="1">
      <c r="A310" s="88" t="s">
        <v>346</v>
      </c>
      <c r="B310" s="88" t="s">
        <v>19</v>
      </c>
      <c r="C310" s="39" t="s">
        <v>339</v>
      </c>
      <c r="D310" s="90">
        <v>1.6799999999999999E-2</v>
      </c>
      <c r="E310" s="90"/>
      <c r="F310" s="90"/>
      <c r="G310" s="90">
        <f>ROUNDDOWN(자재단가대비표!N113,0)</f>
        <v>122128</v>
      </c>
      <c r="H310" s="90">
        <f>ROUNDDOWN(D310*G310,1)</f>
        <v>2051.6999999999998</v>
      </c>
      <c r="I310" s="90"/>
      <c r="J310" s="90"/>
      <c r="K310" s="90">
        <f t="shared" si="43"/>
        <v>122128</v>
      </c>
      <c r="L310" s="90">
        <f t="shared" si="43"/>
        <v>2051.6999999999998</v>
      </c>
      <c r="M310" s="70"/>
      <c r="O310" s="31" t="s">
        <v>462</v>
      </c>
      <c r="P310" s="31" t="s">
        <v>452</v>
      </c>
      <c r="Q310" s="27">
        <v>1</v>
      </c>
    </row>
    <row r="311" spans="1:17" ht="16.5" customHeight="1">
      <c r="A311" s="88" t="s">
        <v>352</v>
      </c>
      <c r="B311" s="88" t="s">
        <v>19</v>
      </c>
      <c r="C311" s="39" t="s">
        <v>339</v>
      </c>
      <c r="D311" s="90">
        <v>2.8E-3</v>
      </c>
      <c r="E311" s="90"/>
      <c r="F311" s="90"/>
      <c r="G311" s="90">
        <f>ROUNDDOWN(자재단가대비표!N119,0)</f>
        <v>87805</v>
      </c>
      <c r="H311" s="90">
        <f>ROUNDDOWN(D311*G311,1)</f>
        <v>245.8</v>
      </c>
      <c r="I311" s="90"/>
      <c r="J311" s="90"/>
      <c r="K311" s="90">
        <f t="shared" si="43"/>
        <v>87805</v>
      </c>
      <c r="L311" s="90">
        <f t="shared" si="43"/>
        <v>245.8</v>
      </c>
      <c r="M311" s="70"/>
      <c r="O311" s="31" t="s">
        <v>462</v>
      </c>
      <c r="P311" s="31" t="s">
        <v>452</v>
      </c>
      <c r="Q311" s="27">
        <v>1</v>
      </c>
    </row>
    <row r="312" spans="1:17" ht="16.5" customHeight="1">
      <c r="A312" s="116" t="s">
        <v>419</v>
      </c>
      <c r="B312" s="65"/>
      <c r="C312" s="66"/>
      <c r="D312" s="67"/>
      <c r="E312" s="67"/>
      <c r="F312" s="123">
        <f>ROUNDDOWN(SUMIF($Q$307:$Q$311, 1,$F$307:$F$311),0)</f>
        <v>689</v>
      </c>
      <c r="G312" s="67"/>
      <c r="H312" s="123">
        <f>ROUNDDOWN(SUMIF($Q$307:$Q$311, 1,$H$307:$H$311),0)</f>
        <v>3213</v>
      </c>
      <c r="I312" s="67"/>
      <c r="J312" s="123">
        <f>ROUNDDOWN(SUMIF($Q$307:$Q$311, 1,$J$307:$J$311),0)</f>
        <v>0</v>
      </c>
      <c r="K312" s="67"/>
      <c r="L312" s="123">
        <f>F312+H312+J312</f>
        <v>3902</v>
      </c>
      <c r="M312" s="69"/>
    </row>
    <row r="313" spans="1:17" ht="16.5" customHeight="1">
      <c r="A313" s="88" t="s">
        <v>686</v>
      </c>
      <c r="B313" s="88" t="s">
        <v>683</v>
      </c>
      <c r="C313" s="39" t="s">
        <v>26</v>
      </c>
      <c r="D313" s="90"/>
      <c r="E313" s="90"/>
      <c r="F313" s="90"/>
      <c r="G313" s="90"/>
      <c r="H313" s="90"/>
      <c r="I313" s="90"/>
      <c r="J313" s="90"/>
      <c r="K313" s="90"/>
      <c r="L313" s="90"/>
      <c r="M313" s="71" t="s">
        <v>687</v>
      </c>
    </row>
    <row r="314" spans="1:17" ht="16.5" customHeight="1">
      <c r="A314" s="88" t="s">
        <v>326</v>
      </c>
      <c r="B314" s="88" t="s">
        <v>327</v>
      </c>
      <c r="C314" s="39" t="s">
        <v>58</v>
      </c>
      <c r="D314" s="90">
        <v>0.05</v>
      </c>
      <c r="E314" s="90">
        <f>ROUNDDOWN(자재단가대비표!N101,0)</f>
        <v>3090</v>
      </c>
      <c r="F314" s="90">
        <f>ROUNDDOWN(D314*E314,1)</f>
        <v>154.5</v>
      </c>
      <c r="G314" s="90"/>
      <c r="H314" s="90"/>
      <c r="I314" s="90"/>
      <c r="J314" s="90"/>
      <c r="K314" s="90">
        <f t="shared" ref="K314:L317" si="44">E314+G314+I314</f>
        <v>3090</v>
      </c>
      <c r="L314" s="90">
        <f t="shared" si="44"/>
        <v>154.5</v>
      </c>
      <c r="M314" s="70"/>
      <c r="O314" s="31" t="s">
        <v>457</v>
      </c>
      <c r="P314" s="31" t="s">
        <v>452</v>
      </c>
      <c r="Q314" s="27">
        <v>1</v>
      </c>
    </row>
    <row r="315" spans="1:17" ht="16.5" customHeight="1">
      <c r="A315" s="88" t="s">
        <v>250</v>
      </c>
      <c r="B315" s="88" t="s">
        <v>251</v>
      </c>
      <c r="C315" s="39" t="s">
        <v>221</v>
      </c>
      <c r="D315" s="90">
        <v>0.1</v>
      </c>
      <c r="E315" s="90">
        <f>ROUNDDOWN(자재단가대비표!N76,0)</f>
        <v>200</v>
      </c>
      <c r="F315" s="90">
        <f>ROUNDDOWN(D315*E315,1)</f>
        <v>20</v>
      </c>
      <c r="G315" s="90"/>
      <c r="H315" s="90"/>
      <c r="I315" s="90"/>
      <c r="J315" s="90"/>
      <c r="K315" s="90">
        <f t="shared" si="44"/>
        <v>200</v>
      </c>
      <c r="L315" s="90">
        <f t="shared" si="44"/>
        <v>20</v>
      </c>
      <c r="M315" s="70"/>
      <c r="O315" s="31" t="s">
        <v>457</v>
      </c>
      <c r="P315" s="31" t="s">
        <v>452</v>
      </c>
      <c r="Q315" s="27">
        <v>1</v>
      </c>
    </row>
    <row r="316" spans="1:17" ht="16.5" customHeight="1">
      <c r="A316" s="88" t="s">
        <v>346</v>
      </c>
      <c r="B316" s="88" t="s">
        <v>19</v>
      </c>
      <c r="C316" s="39" t="s">
        <v>339</v>
      </c>
      <c r="D316" s="90">
        <v>7.0000000000000001E-3</v>
      </c>
      <c r="E316" s="90"/>
      <c r="F316" s="90"/>
      <c r="G316" s="90">
        <f>ROUNDDOWN(자재단가대비표!N113,0)</f>
        <v>122128</v>
      </c>
      <c r="H316" s="90">
        <f>ROUNDDOWN(D316*G316,1)</f>
        <v>854.8</v>
      </c>
      <c r="I316" s="90"/>
      <c r="J316" s="90"/>
      <c r="K316" s="90">
        <f t="shared" si="44"/>
        <v>122128</v>
      </c>
      <c r="L316" s="90">
        <f t="shared" si="44"/>
        <v>854.8</v>
      </c>
      <c r="M316" s="70"/>
      <c r="O316" s="31" t="s">
        <v>462</v>
      </c>
      <c r="P316" s="31" t="s">
        <v>452</v>
      </c>
      <c r="Q316" s="27">
        <v>1</v>
      </c>
    </row>
    <row r="317" spans="1:17" ht="16.5" customHeight="1">
      <c r="A317" s="88" t="s">
        <v>352</v>
      </c>
      <c r="B317" s="88" t="s">
        <v>19</v>
      </c>
      <c r="C317" s="39" t="s">
        <v>339</v>
      </c>
      <c r="D317" s="90">
        <v>6.9999999999999999E-4</v>
      </c>
      <c r="E317" s="90"/>
      <c r="F317" s="90"/>
      <c r="G317" s="90">
        <f>ROUNDDOWN(자재단가대비표!N119,0)</f>
        <v>87805</v>
      </c>
      <c r="H317" s="90">
        <f>ROUNDDOWN(D317*G317,1)</f>
        <v>61.4</v>
      </c>
      <c r="I317" s="90"/>
      <c r="J317" s="90"/>
      <c r="K317" s="90">
        <f t="shared" si="44"/>
        <v>87805</v>
      </c>
      <c r="L317" s="90">
        <f t="shared" si="44"/>
        <v>61.4</v>
      </c>
      <c r="M317" s="70"/>
      <c r="O317" s="31" t="s">
        <v>462</v>
      </c>
      <c r="P317" s="31" t="s">
        <v>452</v>
      </c>
      <c r="Q317" s="27">
        <v>1</v>
      </c>
    </row>
    <row r="318" spans="1:17" ht="16.5" customHeight="1">
      <c r="A318" s="116" t="s">
        <v>419</v>
      </c>
      <c r="B318" s="65"/>
      <c r="C318" s="66"/>
      <c r="D318" s="67"/>
      <c r="E318" s="67"/>
      <c r="F318" s="123">
        <f>ROUNDDOWN(SUMIF($Q$314:$Q$317, 1,$F$314:$F$317),0)</f>
        <v>174</v>
      </c>
      <c r="G318" s="67"/>
      <c r="H318" s="123">
        <f>ROUNDDOWN(SUMIF($Q$314:$Q$317, 1,$H$314:$H$317),0)</f>
        <v>916</v>
      </c>
      <c r="I318" s="67"/>
      <c r="J318" s="123">
        <f>ROUNDDOWN(SUMIF($Q$314:$Q$317, 1,$J$314:$J$317),0)</f>
        <v>0</v>
      </c>
      <c r="K318" s="67"/>
      <c r="L318" s="123">
        <f>F318+H318+J318</f>
        <v>1090</v>
      </c>
      <c r="M318" s="69"/>
    </row>
    <row r="319" spans="1:17" ht="16.5" customHeight="1">
      <c r="A319" s="88" t="s">
        <v>907</v>
      </c>
      <c r="B319" s="88" t="s">
        <v>906</v>
      </c>
      <c r="C319" s="39" t="s">
        <v>26</v>
      </c>
      <c r="D319" s="90"/>
      <c r="E319" s="90"/>
      <c r="F319" s="90"/>
      <c r="G319" s="90"/>
      <c r="H319" s="90"/>
      <c r="I319" s="90"/>
      <c r="J319" s="90"/>
      <c r="K319" s="90"/>
      <c r="L319" s="90"/>
      <c r="M319" s="71" t="s">
        <v>908</v>
      </c>
    </row>
    <row r="320" spans="1:17" ht="16.5" customHeight="1">
      <c r="A320" s="88" t="s">
        <v>326</v>
      </c>
      <c r="B320" s="88" t="s">
        <v>326</v>
      </c>
      <c r="C320" s="39" t="s">
        <v>58</v>
      </c>
      <c r="D320" s="90">
        <v>0.05</v>
      </c>
      <c r="E320" s="90">
        <f>ROUNDDOWN(자재단가대비표!N102,0)</f>
        <v>528</v>
      </c>
      <c r="F320" s="90">
        <f>ROUNDDOWN(D320*E320,1)</f>
        <v>26.4</v>
      </c>
      <c r="G320" s="90"/>
      <c r="H320" s="90"/>
      <c r="I320" s="90"/>
      <c r="J320" s="90"/>
      <c r="K320" s="90">
        <f t="shared" ref="K320:L323" si="45">E320+G320+I320</f>
        <v>528</v>
      </c>
      <c r="L320" s="90">
        <f t="shared" si="45"/>
        <v>26.4</v>
      </c>
      <c r="M320" s="70"/>
      <c r="O320" s="31" t="s">
        <v>457</v>
      </c>
      <c r="P320" s="31" t="s">
        <v>452</v>
      </c>
      <c r="Q320" s="27">
        <v>1</v>
      </c>
    </row>
    <row r="321" spans="1:17" ht="16.5" customHeight="1">
      <c r="A321" s="88" t="s">
        <v>250</v>
      </c>
      <c r="B321" s="88" t="s">
        <v>894</v>
      </c>
      <c r="C321" s="39" t="s">
        <v>221</v>
      </c>
      <c r="D321" s="90">
        <v>0.1</v>
      </c>
      <c r="E321" s="90">
        <f>ROUNDDOWN(자재단가대비표!N75,0)</f>
        <v>230</v>
      </c>
      <c r="F321" s="90">
        <f>ROUNDDOWN(D321*E321,1)</f>
        <v>23</v>
      </c>
      <c r="G321" s="90"/>
      <c r="H321" s="90"/>
      <c r="I321" s="90"/>
      <c r="J321" s="90"/>
      <c r="K321" s="90">
        <f t="shared" si="45"/>
        <v>230</v>
      </c>
      <c r="L321" s="90">
        <f t="shared" si="45"/>
        <v>23</v>
      </c>
      <c r="M321" s="70"/>
      <c r="O321" s="31" t="s">
        <v>457</v>
      </c>
      <c r="P321" s="31" t="s">
        <v>452</v>
      </c>
      <c r="Q321" s="27">
        <v>1</v>
      </c>
    </row>
    <row r="322" spans="1:17" ht="16.5" customHeight="1">
      <c r="A322" s="88" t="s">
        <v>346</v>
      </c>
      <c r="B322" s="88" t="s">
        <v>19</v>
      </c>
      <c r="C322" s="39" t="s">
        <v>339</v>
      </c>
      <c r="D322" s="90">
        <v>7.0000000000000001E-3</v>
      </c>
      <c r="E322" s="90"/>
      <c r="F322" s="90"/>
      <c r="G322" s="90">
        <f>ROUNDDOWN(자재단가대비표!N113,0)</f>
        <v>122128</v>
      </c>
      <c r="H322" s="90">
        <f>ROUNDDOWN(D322*G322,1)</f>
        <v>854.8</v>
      </c>
      <c r="I322" s="90"/>
      <c r="J322" s="90"/>
      <c r="K322" s="90">
        <f t="shared" si="45"/>
        <v>122128</v>
      </c>
      <c r="L322" s="90">
        <f t="shared" si="45"/>
        <v>854.8</v>
      </c>
      <c r="M322" s="70"/>
      <c r="O322" s="31" t="s">
        <v>462</v>
      </c>
      <c r="P322" s="31" t="s">
        <v>452</v>
      </c>
      <c r="Q322" s="27">
        <v>1</v>
      </c>
    </row>
    <row r="323" spans="1:17" ht="16.5" customHeight="1">
      <c r="A323" s="88" t="s">
        <v>352</v>
      </c>
      <c r="B323" s="88" t="s">
        <v>19</v>
      </c>
      <c r="C323" s="39" t="s">
        <v>339</v>
      </c>
      <c r="D323" s="90">
        <v>6.9999999999999999E-4</v>
      </c>
      <c r="E323" s="90"/>
      <c r="F323" s="90"/>
      <c r="G323" s="90">
        <f>ROUNDDOWN(자재단가대비표!N119,0)</f>
        <v>87805</v>
      </c>
      <c r="H323" s="90">
        <f>ROUNDDOWN(D323*G323,1)</f>
        <v>61.4</v>
      </c>
      <c r="I323" s="90"/>
      <c r="J323" s="90"/>
      <c r="K323" s="90">
        <f t="shared" si="45"/>
        <v>87805</v>
      </c>
      <c r="L323" s="90">
        <f t="shared" si="45"/>
        <v>61.4</v>
      </c>
      <c r="M323" s="70"/>
      <c r="O323" s="31" t="s">
        <v>462</v>
      </c>
      <c r="P323" s="31" t="s">
        <v>452</v>
      </c>
      <c r="Q323" s="27">
        <v>1</v>
      </c>
    </row>
    <row r="324" spans="1:17" ht="16.5" customHeight="1">
      <c r="A324" s="116" t="s">
        <v>419</v>
      </c>
      <c r="B324" s="65"/>
      <c r="C324" s="66"/>
      <c r="D324" s="67"/>
      <c r="E324" s="67"/>
      <c r="F324" s="123">
        <f>ROUNDDOWN(SUMIF($Q$320:$Q$323, 1,$F$320:$F$323),0)</f>
        <v>49</v>
      </c>
      <c r="G324" s="67"/>
      <c r="H324" s="123">
        <f>ROUNDDOWN(SUMIF($Q$320:$Q$323, 1,$H$320:$H$323),0)</f>
        <v>916</v>
      </c>
      <c r="I324" s="67"/>
      <c r="J324" s="123">
        <f>ROUNDDOWN(SUMIF($Q$320:$Q$323, 1,$J$320:$J$323),0)</f>
        <v>0</v>
      </c>
      <c r="K324" s="67"/>
      <c r="L324" s="123">
        <f>F324+H324+J324</f>
        <v>965</v>
      </c>
      <c r="M324" s="69"/>
    </row>
    <row r="325" spans="1:17" ht="16.5" customHeight="1">
      <c r="A325" s="88" t="s">
        <v>909</v>
      </c>
      <c r="B325" s="88" t="s">
        <v>677</v>
      </c>
      <c r="C325" s="39" t="s">
        <v>26</v>
      </c>
      <c r="D325" s="90"/>
      <c r="E325" s="90"/>
      <c r="F325" s="90"/>
      <c r="G325" s="90"/>
      <c r="H325" s="90"/>
      <c r="I325" s="90"/>
      <c r="J325" s="90"/>
      <c r="K325" s="90"/>
      <c r="L325" s="90"/>
      <c r="M325" s="71" t="s">
        <v>477</v>
      </c>
    </row>
    <row r="326" spans="1:17" ht="16.5" customHeight="1">
      <c r="A326" s="88" t="s">
        <v>656</v>
      </c>
      <c r="B326" s="88" t="s">
        <v>678</v>
      </c>
      <c r="C326" s="39" t="s">
        <v>34</v>
      </c>
      <c r="D326" s="90">
        <v>2.33</v>
      </c>
      <c r="E326" s="90"/>
      <c r="F326" s="90"/>
      <c r="G326" s="90"/>
      <c r="H326" s="90"/>
      <c r="I326" s="90"/>
      <c r="J326" s="90"/>
      <c r="K326" s="90">
        <f t="shared" ref="K326:L333" si="46">E326+G326+I326</f>
        <v>0</v>
      </c>
      <c r="L326" s="90">
        <f t="shared" si="46"/>
        <v>0</v>
      </c>
      <c r="M326" s="70"/>
      <c r="P326" s="31" t="s">
        <v>452</v>
      </c>
      <c r="Q326" s="27">
        <v>1</v>
      </c>
    </row>
    <row r="327" spans="1:17" ht="16.5" customHeight="1">
      <c r="A327" s="88" t="s">
        <v>658</v>
      </c>
      <c r="B327" s="88" t="s">
        <v>679</v>
      </c>
      <c r="C327" s="39" t="s">
        <v>34</v>
      </c>
      <c r="D327" s="90">
        <v>0.68</v>
      </c>
      <c r="E327" s="90"/>
      <c r="F327" s="90"/>
      <c r="G327" s="90"/>
      <c r="H327" s="90"/>
      <c r="I327" s="90"/>
      <c r="J327" s="90"/>
      <c r="K327" s="90">
        <f t="shared" si="46"/>
        <v>0</v>
      </c>
      <c r="L327" s="90">
        <f t="shared" si="46"/>
        <v>0</v>
      </c>
      <c r="M327" s="70"/>
      <c r="P327" s="31" t="s">
        <v>452</v>
      </c>
      <c r="Q327" s="27">
        <v>1</v>
      </c>
    </row>
    <row r="328" spans="1:17" ht="16.5" customHeight="1">
      <c r="A328" s="88" t="s">
        <v>660</v>
      </c>
      <c r="B328" s="88" t="s">
        <v>661</v>
      </c>
      <c r="C328" s="39" t="s">
        <v>17</v>
      </c>
      <c r="D328" s="90">
        <v>12</v>
      </c>
      <c r="E328" s="90"/>
      <c r="F328" s="90"/>
      <c r="G328" s="90"/>
      <c r="H328" s="90"/>
      <c r="I328" s="90"/>
      <c r="J328" s="90"/>
      <c r="K328" s="90">
        <f t="shared" si="46"/>
        <v>0</v>
      </c>
      <c r="L328" s="90">
        <f t="shared" si="46"/>
        <v>0</v>
      </c>
      <c r="M328" s="70"/>
      <c r="P328" s="31" t="s">
        <v>452</v>
      </c>
      <c r="Q328" s="27">
        <v>1</v>
      </c>
    </row>
    <row r="329" spans="1:17" ht="16.5" customHeight="1">
      <c r="A329" s="88" t="s">
        <v>662</v>
      </c>
      <c r="B329" s="88" t="s">
        <v>663</v>
      </c>
      <c r="C329" s="39" t="s">
        <v>664</v>
      </c>
      <c r="D329" s="90">
        <v>4</v>
      </c>
      <c r="E329" s="90"/>
      <c r="F329" s="90"/>
      <c r="G329" s="90"/>
      <c r="H329" s="90"/>
      <c r="I329" s="90"/>
      <c r="J329" s="90"/>
      <c r="K329" s="90">
        <f t="shared" si="46"/>
        <v>0</v>
      </c>
      <c r="L329" s="90">
        <f t="shared" si="46"/>
        <v>0</v>
      </c>
      <c r="M329" s="70"/>
      <c r="P329" s="31" t="s">
        <v>452</v>
      </c>
      <c r="Q329" s="27">
        <v>1</v>
      </c>
    </row>
    <row r="330" spans="1:17" ht="16.5" customHeight="1">
      <c r="A330" s="88" t="s">
        <v>259</v>
      </c>
      <c r="B330" s="88" t="s">
        <v>260</v>
      </c>
      <c r="C330" s="39" t="s">
        <v>58</v>
      </c>
      <c r="D330" s="90">
        <v>0.08</v>
      </c>
      <c r="E330" s="90">
        <f>ROUNDDOWN(자재단가대비표!N78,0)</f>
        <v>2020</v>
      </c>
      <c r="F330" s="90">
        <f>ROUNDDOWN(D330*E330,1)</f>
        <v>161.6</v>
      </c>
      <c r="G330" s="90"/>
      <c r="H330" s="90"/>
      <c r="I330" s="90"/>
      <c r="J330" s="90"/>
      <c r="K330" s="90">
        <f t="shared" si="46"/>
        <v>2020</v>
      </c>
      <c r="L330" s="90">
        <f t="shared" si="46"/>
        <v>161.6</v>
      </c>
      <c r="M330" s="70"/>
      <c r="O330" s="31" t="s">
        <v>457</v>
      </c>
      <c r="P330" s="31" t="s">
        <v>452</v>
      </c>
      <c r="Q330" s="27">
        <v>1</v>
      </c>
    </row>
    <row r="331" spans="1:17" ht="16.5" customHeight="1">
      <c r="A331" s="88" t="s">
        <v>363</v>
      </c>
      <c r="B331" s="88" t="s">
        <v>19</v>
      </c>
      <c r="C331" s="39" t="s">
        <v>339</v>
      </c>
      <c r="D331" s="90">
        <v>6.2299999999999994E-2</v>
      </c>
      <c r="E331" s="90"/>
      <c r="F331" s="90"/>
      <c r="G331" s="90">
        <f>ROUNDDOWN(자재단가대비표!N129,0)</f>
        <v>108245</v>
      </c>
      <c r="H331" s="90">
        <f>ROUNDDOWN(D331*G331,1)</f>
        <v>6743.6</v>
      </c>
      <c r="I331" s="90"/>
      <c r="J331" s="90"/>
      <c r="K331" s="90">
        <f t="shared" si="46"/>
        <v>108245</v>
      </c>
      <c r="L331" s="90">
        <f t="shared" si="46"/>
        <v>6743.6</v>
      </c>
      <c r="M331" s="70"/>
      <c r="O331" s="31" t="s">
        <v>462</v>
      </c>
      <c r="P331" s="31" t="s">
        <v>452</v>
      </c>
      <c r="Q331" s="27">
        <v>1</v>
      </c>
    </row>
    <row r="332" spans="1:17" ht="16.5" customHeight="1">
      <c r="A332" s="88" t="s">
        <v>352</v>
      </c>
      <c r="B332" s="88" t="s">
        <v>19</v>
      </c>
      <c r="C332" s="39" t="s">
        <v>339</v>
      </c>
      <c r="D332" s="90">
        <v>2.8000000000000001E-2</v>
      </c>
      <c r="E332" s="90"/>
      <c r="F332" s="90"/>
      <c r="G332" s="90">
        <f>ROUNDDOWN(자재단가대비표!N119,0)</f>
        <v>87805</v>
      </c>
      <c r="H332" s="90">
        <f>ROUNDDOWN(D332*G332,1)</f>
        <v>2458.5</v>
      </c>
      <c r="I332" s="90"/>
      <c r="J332" s="90"/>
      <c r="K332" s="90">
        <f t="shared" si="46"/>
        <v>87805</v>
      </c>
      <c r="L332" s="90">
        <f t="shared" si="46"/>
        <v>2458.5</v>
      </c>
      <c r="M332" s="70"/>
      <c r="O332" s="31" t="s">
        <v>462</v>
      </c>
      <c r="P332" s="31" t="s">
        <v>452</v>
      </c>
      <c r="Q332" s="27">
        <v>1</v>
      </c>
    </row>
    <row r="333" spans="1:17" ht="16.5" customHeight="1">
      <c r="A333" s="88" t="s">
        <v>538</v>
      </c>
      <c r="B333" s="34" t="str">
        <f>"노무비의 "&amp;N333*100&amp;"%"</f>
        <v>노무비의 3%</v>
      </c>
      <c r="C333" s="39" t="s">
        <v>459</v>
      </c>
      <c r="D333" s="94" t="s">
        <v>460</v>
      </c>
      <c r="E333" s="90">
        <f>SUMIF($O$325:O333, "02", $H$325:H333)</f>
        <v>9202.1</v>
      </c>
      <c r="F333" s="90">
        <f>ROUNDDOWN(E333*N333,1)</f>
        <v>276</v>
      </c>
      <c r="G333" s="90"/>
      <c r="H333" s="90"/>
      <c r="I333" s="90"/>
      <c r="J333" s="90"/>
      <c r="K333" s="90">
        <f t="shared" si="46"/>
        <v>9202.1</v>
      </c>
      <c r="L333" s="90">
        <f t="shared" si="46"/>
        <v>276</v>
      </c>
      <c r="M333" s="71" t="s">
        <v>539</v>
      </c>
      <c r="N333" s="32">
        <v>0.03</v>
      </c>
      <c r="P333" s="31" t="s">
        <v>452</v>
      </c>
      <c r="Q333" s="27">
        <v>1</v>
      </c>
    </row>
    <row r="334" spans="1:17" ht="16.5" customHeight="1">
      <c r="A334" s="116" t="s">
        <v>419</v>
      </c>
      <c r="B334" s="65"/>
      <c r="C334" s="66"/>
      <c r="D334" s="67"/>
      <c r="E334" s="67"/>
      <c r="F334" s="123">
        <f>ROUNDDOWN(SUMIF($Q$326:$Q$333, 1,$F$326:$F$333),0)</f>
        <v>437</v>
      </c>
      <c r="G334" s="67"/>
      <c r="H334" s="123">
        <f>ROUNDDOWN(SUMIF($Q$326:$Q$333, 1,$H$326:$H$333),0)</f>
        <v>9202</v>
      </c>
      <c r="I334" s="67"/>
      <c r="J334" s="123">
        <f>ROUNDDOWN(SUMIF($Q$326:$Q$333, 1,$J$326:$J$333),0)</f>
        <v>0</v>
      </c>
      <c r="K334" s="67"/>
      <c r="L334" s="123">
        <f>F334+H334+J334</f>
        <v>9639</v>
      </c>
      <c r="M334" s="69"/>
    </row>
    <row r="335" spans="1:17" ht="16.5" customHeight="1">
      <c r="A335" s="88" t="s">
        <v>910</v>
      </c>
      <c r="B335" s="88" t="s">
        <v>688</v>
      </c>
      <c r="C335" s="39" t="s">
        <v>34</v>
      </c>
      <c r="D335" s="38"/>
      <c r="E335" s="38"/>
      <c r="F335" s="91">
        <v>6649</v>
      </c>
      <c r="G335" s="38"/>
      <c r="H335" s="91">
        <v>10847</v>
      </c>
      <c r="I335" s="38"/>
      <c r="J335" s="91"/>
      <c r="K335" s="38"/>
      <c r="L335" s="91">
        <f>F335+H335+J335</f>
        <v>17496</v>
      </c>
      <c r="M335" s="71" t="s">
        <v>689</v>
      </c>
    </row>
    <row r="336" spans="1:17" ht="16.5" customHeight="1">
      <c r="A336" s="88" t="s">
        <v>911</v>
      </c>
      <c r="B336" s="88" t="s">
        <v>690</v>
      </c>
      <c r="C336" s="39" t="s">
        <v>26</v>
      </c>
      <c r="D336" s="90"/>
      <c r="E336" s="90"/>
      <c r="F336" s="90"/>
      <c r="G336" s="90"/>
      <c r="H336" s="90"/>
      <c r="I336" s="90"/>
      <c r="J336" s="90"/>
      <c r="K336" s="90"/>
      <c r="L336" s="90"/>
      <c r="M336" s="71" t="s">
        <v>19</v>
      </c>
    </row>
    <row r="337" spans="1:17" ht="16.5" customHeight="1">
      <c r="A337" s="88" t="s">
        <v>64</v>
      </c>
      <c r="B337" s="88" t="s">
        <v>65</v>
      </c>
      <c r="C337" s="39" t="s">
        <v>66</v>
      </c>
      <c r="D337" s="90">
        <v>5.3460000000000001</v>
      </c>
      <c r="E337" s="90">
        <f>ROUNDDOWN(자재단가대비표!N21,0)</f>
        <v>1400</v>
      </c>
      <c r="F337" s="90">
        <f>ROUNDDOWN(D337*E337,1)</f>
        <v>7484.4</v>
      </c>
      <c r="G337" s="90"/>
      <c r="H337" s="90"/>
      <c r="I337" s="90"/>
      <c r="J337" s="90"/>
      <c r="K337" s="90">
        <f t="shared" ref="K337:L342" si="47">E337+G337+I337</f>
        <v>1400</v>
      </c>
      <c r="L337" s="90">
        <f t="shared" si="47"/>
        <v>7484.4</v>
      </c>
      <c r="M337" s="70"/>
      <c r="O337" s="31" t="s">
        <v>457</v>
      </c>
      <c r="P337" s="31" t="s">
        <v>452</v>
      </c>
      <c r="Q337" s="27">
        <v>1</v>
      </c>
    </row>
    <row r="338" spans="1:17" ht="16.5" customHeight="1">
      <c r="A338" s="88" t="s">
        <v>691</v>
      </c>
      <c r="B338" s="88" t="s">
        <v>692</v>
      </c>
      <c r="C338" s="39" t="s">
        <v>26</v>
      </c>
      <c r="D338" s="90">
        <v>1</v>
      </c>
      <c r="E338" s="90">
        <f>ROUNDDOWN(일위대가표!F348,0)</f>
        <v>4182</v>
      </c>
      <c r="F338" s="90">
        <f>ROUNDDOWN(D338*E338,1)</f>
        <v>4182</v>
      </c>
      <c r="G338" s="90">
        <f>ROUNDDOWN(일위대가표!H348,0)</f>
        <v>3218</v>
      </c>
      <c r="H338" s="90">
        <f>ROUNDDOWN(D338*G338,1)</f>
        <v>3218</v>
      </c>
      <c r="I338" s="90"/>
      <c r="J338" s="90"/>
      <c r="K338" s="90">
        <f t="shared" si="47"/>
        <v>7400</v>
      </c>
      <c r="L338" s="90">
        <f t="shared" si="47"/>
        <v>7400</v>
      </c>
      <c r="M338" s="71" t="s">
        <v>796</v>
      </c>
      <c r="P338" s="31" t="s">
        <v>452</v>
      </c>
      <c r="Q338" s="27">
        <v>1</v>
      </c>
    </row>
    <row r="339" spans="1:17" ht="16.5" customHeight="1">
      <c r="A339" s="88" t="s">
        <v>309</v>
      </c>
      <c r="B339" s="88" t="s">
        <v>310</v>
      </c>
      <c r="C339" s="39" t="s">
        <v>58</v>
      </c>
      <c r="D339" s="90">
        <v>3.0000000000000001E-3</v>
      </c>
      <c r="E339" s="90">
        <f>ROUNDDOWN(자재단가대비표!N94,1)</f>
        <v>850</v>
      </c>
      <c r="F339" s="90">
        <f>ROUNDDOWN(D339*E339,1)</f>
        <v>2.5</v>
      </c>
      <c r="G339" s="90"/>
      <c r="H339" s="90"/>
      <c r="I339" s="90"/>
      <c r="J339" s="90"/>
      <c r="K339" s="90">
        <f t="shared" si="47"/>
        <v>850</v>
      </c>
      <c r="L339" s="90">
        <f t="shared" si="47"/>
        <v>2.5</v>
      </c>
      <c r="M339" s="70"/>
      <c r="O339" s="31" t="s">
        <v>457</v>
      </c>
      <c r="P339" s="31" t="s">
        <v>452</v>
      </c>
      <c r="Q339" s="27">
        <v>1</v>
      </c>
    </row>
    <row r="340" spans="1:17" ht="16.5" customHeight="1">
      <c r="A340" s="88" t="s">
        <v>341</v>
      </c>
      <c r="B340" s="88" t="s">
        <v>19</v>
      </c>
      <c r="C340" s="39" t="s">
        <v>339</v>
      </c>
      <c r="D340" s="90">
        <v>3.5000000000000003E-2</v>
      </c>
      <c r="E340" s="90"/>
      <c r="F340" s="90"/>
      <c r="G340" s="90">
        <f>ROUNDDOWN(자재단가대비표!N109,0)</f>
        <v>139327</v>
      </c>
      <c r="H340" s="90">
        <f>ROUNDDOWN(D340*G340,1)</f>
        <v>4876.3999999999996</v>
      </c>
      <c r="I340" s="90"/>
      <c r="J340" s="90"/>
      <c r="K340" s="90">
        <f t="shared" si="47"/>
        <v>139327</v>
      </c>
      <c r="L340" s="90">
        <f t="shared" si="47"/>
        <v>4876.3999999999996</v>
      </c>
      <c r="M340" s="70"/>
      <c r="O340" s="31" t="s">
        <v>462</v>
      </c>
      <c r="P340" s="31" t="s">
        <v>452</v>
      </c>
      <c r="Q340" s="27">
        <v>1</v>
      </c>
    </row>
    <row r="341" spans="1:17" ht="16.5" customHeight="1">
      <c r="A341" s="88" t="s">
        <v>352</v>
      </c>
      <c r="B341" s="88" t="s">
        <v>19</v>
      </c>
      <c r="C341" s="39" t="s">
        <v>339</v>
      </c>
      <c r="D341" s="90">
        <v>7.0000000000000001E-3</v>
      </c>
      <c r="E341" s="90"/>
      <c r="F341" s="90"/>
      <c r="G341" s="90">
        <f>ROUNDDOWN(자재단가대비표!N119,0)</f>
        <v>87805</v>
      </c>
      <c r="H341" s="90">
        <f>ROUNDDOWN(D341*G341,1)</f>
        <v>614.6</v>
      </c>
      <c r="I341" s="90"/>
      <c r="J341" s="90"/>
      <c r="K341" s="90">
        <f t="shared" si="47"/>
        <v>87805</v>
      </c>
      <c r="L341" s="90">
        <f t="shared" si="47"/>
        <v>614.6</v>
      </c>
      <c r="M341" s="70"/>
      <c r="O341" s="31" t="s">
        <v>462</v>
      </c>
      <c r="P341" s="31" t="s">
        <v>452</v>
      </c>
      <c r="Q341" s="27">
        <v>1</v>
      </c>
    </row>
    <row r="342" spans="1:17" ht="16.5" customHeight="1">
      <c r="A342" s="88" t="s">
        <v>538</v>
      </c>
      <c r="B342" s="34" t="str">
        <f>"노무비의 "&amp;N342*100&amp;"%"</f>
        <v>노무비의 1%</v>
      </c>
      <c r="C342" s="39" t="s">
        <v>459</v>
      </c>
      <c r="D342" s="94" t="s">
        <v>460</v>
      </c>
      <c r="E342" s="90">
        <f>SUMIF($O$336:O342, "02", $H$336:H342)</f>
        <v>5491</v>
      </c>
      <c r="F342" s="90">
        <f>ROUNDDOWN(E342*N342,1)</f>
        <v>54.9</v>
      </c>
      <c r="G342" s="90"/>
      <c r="H342" s="90"/>
      <c r="I342" s="90"/>
      <c r="J342" s="90"/>
      <c r="K342" s="90">
        <f t="shared" si="47"/>
        <v>5491</v>
      </c>
      <c r="L342" s="90">
        <f t="shared" si="47"/>
        <v>54.9</v>
      </c>
      <c r="M342" s="71" t="s">
        <v>539</v>
      </c>
      <c r="N342" s="32">
        <v>0.01</v>
      </c>
      <c r="P342" s="31" t="s">
        <v>452</v>
      </c>
      <c r="Q342" s="27">
        <v>1</v>
      </c>
    </row>
    <row r="343" spans="1:17" ht="16.5" customHeight="1">
      <c r="A343" s="116" t="s">
        <v>419</v>
      </c>
      <c r="B343" s="65"/>
      <c r="C343" s="66"/>
      <c r="D343" s="67"/>
      <c r="E343" s="67"/>
      <c r="F343" s="123">
        <f>ROUNDDOWN(SUMIF($Q$337:$Q$342, 1,$F$337:$F$342),0)</f>
        <v>11723</v>
      </c>
      <c r="G343" s="67"/>
      <c r="H343" s="123">
        <f>ROUNDDOWN(SUMIF($Q$337:$Q$342, 1,$H$337:$H$342),0)</f>
        <v>8709</v>
      </c>
      <c r="I343" s="67"/>
      <c r="J343" s="123">
        <f>ROUNDDOWN(SUMIF($Q$337:$Q$342, 1,$J$337:$J$342),0)</f>
        <v>0</v>
      </c>
      <c r="K343" s="67"/>
      <c r="L343" s="123">
        <f>F343+H343+J343</f>
        <v>20432</v>
      </c>
      <c r="M343" s="69"/>
    </row>
    <row r="344" spans="1:17" ht="16.5" customHeight="1">
      <c r="A344" s="88" t="s">
        <v>912</v>
      </c>
      <c r="B344" s="88" t="s">
        <v>692</v>
      </c>
      <c r="C344" s="39" t="s">
        <v>26</v>
      </c>
      <c r="D344" s="90"/>
      <c r="E344" s="90"/>
      <c r="F344" s="90"/>
      <c r="G344" s="90"/>
      <c r="H344" s="90"/>
      <c r="I344" s="90"/>
      <c r="J344" s="90"/>
      <c r="K344" s="90"/>
      <c r="L344" s="90"/>
      <c r="M344" s="71" t="s">
        <v>619</v>
      </c>
    </row>
    <row r="345" spans="1:17" ht="16.5" customHeight="1">
      <c r="A345" s="88" t="s">
        <v>64</v>
      </c>
      <c r="B345" s="88" t="s">
        <v>65</v>
      </c>
      <c r="C345" s="39" t="s">
        <v>66</v>
      </c>
      <c r="D345" s="90">
        <v>2.9689999999999999</v>
      </c>
      <c r="E345" s="90">
        <f>ROUNDDOWN(자재단가대비표!N21,0)</f>
        <v>1400</v>
      </c>
      <c r="F345" s="90">
        <f>ROUNDDOWN(D345*E345,1)</f>
        <v>4156.6000000000004</v>
      </c>
      <c r="G345" s="90"/>
      <c r="H345" s="90"/>
      <c r="I345" s="90"/>
      <c r="J345" s="90"/>
      <c r="K345" s="90">
        <f t="shared" ref="K345:L347" si="48">E345+G345+I345</f>
        <v>1400</v>
      </c>
      <c r="L345" s="90">
        <f t="shared" si="48"/>
        <v>4156.6000000000004</v>
      </c>
      <c r="M345" s="70"/>
      <c r="O345" s="31" t="s">
        <v>457</v>
      </c>
      <c r="P345" s="31" t="s">
        <v>452</v>
      </c>
      <c r="Q345" s="27">
        <v>1</v>
      </c>
    </row>
    <row r="346" spans="1:17" ht="16.5" customHeight="1">
      <c r="A346" s="88" t="s">
        <v>309</v>
      </c>
      <c r="B346" s="88" t="s">
        <v>310</v>
      </c>
      <c r="C346" s="39" t="s">
        <v>58</v>
      </c>
      <c r="D346" s="90">
        <v>0.03</v>
      </c>
      <c r="E346" s="90">
        <f>ROUNDDOWN(자재단가대비표!N94,1)</f>
        <v>850</v>
      </c>
      <c r="F346" s="90">
        <f>ROUNDDOWN(D346*E346,1)</f>
        <v>25.5</v>
      </c>
      <c r="G346" s="90"/>
      <c r="H346" s="90"/>
      <c r="I346" s="90"/>
      <c r="J346" s="90"/>
      <c r="K346" s="90">
        <f t="shared" si="48"/>
        <v>850</v>
      </c>
      <c r="L346" s="90">
        <f t="shared" si="48"/>
        <v>25.5</v>
      </c>
      <c r="M346" s="70"/>
      <c r="O346" s="31" t="s">
        <v>457</v>
      </c>
      <c r="P346" s="31" t="s">
        <v>452</v>
      </c>
      <c r="Q346" s="27">
        <v>1</v>
      </c>
    </row>
    <row r="347" spans="1:17" ht="16.5" customHeight="1">
      <c r="A347" s="88" t="s">
        <v>341</v>
      </c>
      <c r="B347" s="88" t="s">
        <v>19</v>
      </c>
      <c r="C347" s="39" t="s">
        <v>339</v>
      </c>
      <c r="D347" s="90">
        <v>2.3100000000000002E-2</v>
      </c>
      <c r="E347" s="90"/>
      <c r="F347" s="90"/>
      <c r="G347" s="90">
        <f>ROUNDDOWN(자재단가대비표!N109,0)</f>
        <v>139327</v>
      </c>
      <c r="H347" s="90">
        <f>ROUNDDOWN(D347*G347,1)</f>
        <v>3218.4</v>
      </c>
      <c r="I347" s="90"/>
      <c r="J347" s="90"/>
      <c r="K347" s="90">
        <f t="shared" si="48"/>
        <v>139327</v>
      </c>
      <c r="L347" s="90">
        <f t="shared" si="48"/>
        <v>3218.4</v>
      </c>
      <c r="M347" s="70"/>
      <c r="O347" s="31" t="s">
        <v>462</v>
      </c>
      <c r="P347" s="31" t="s">
        <v>452</v>
      </c>
      <c r="Q347" s="27">
        <v>1</v>
      </c>
    </row>
    <row r="348" spans="1:17" ht="16.5" customHeight="1">
      <c r="A348" s="116" t="s">
        <v>419</v>
      </c>
      <c r="B348" s="65"/>
      <c r="C348" s="66"/>
      <c r="D348" s="67"/>
      <c r="E348" s="67"/>
      <c r="F348" s="123">
        <f>ROUNDDOWN(SUMIF($Q$345:$Q$347, 1,$F$345:$F$347),0)</f>
        <v>4182</v>
      </c>
      <c r="G348" s="67"/>
      <c r="H348" s="123">
        <f>ROUNDDOWN(SUMIF($Q$345:$Q$347, 1,$H$345:$H$347),0)</f>
        <v>3218</v>
      </c>
      <c r="I348" s="67"/>
      <c r="J348" s="123">
        <f>ROUNDDOWN(SUMIF($Q$345:$Q$347, 1,$J$345:$J$347),0)</f>
        <v>0</v>
      </c>
      <c r="K348" s="67"/>
      <c r="L348" s="123">
        <f>F348+H348+J348</f>
        <v>7400</v>
      </c>
      <c r="M348" s="69"/>
    </row>
    <row r="349" spans="1:17" ht="16.5" customHeight="1">
      <c r="A349" s="88" t="s">
        <v>913</v>
      </c>
      <c r="B349" s="88" t="s">
        <v>694</v>
      </c>
      <c r="C349" s="39" t="s">
        <v>26</v>
      </c>
      <c r="D349" s="90"/>
      <c r="E349" s="90"/>
      <c r="F349" s="90"/>
      <c r="G349" s="90"/>
      <c r="H349" s="90"/>
      <c r="I349" s="90"/>
      <c r="J349" s="90"/>
      <c r="K349" s="90"/>
      <c r="L349" s="90"/>
      <c r="M349" s="71" t="s">
        <v>19</v>
      </c>
    </row>
    <row r="350" spans="1:17" ht="16.5" customHeight="1">
      <c r="A350" s="88" t="s">
        <v>191</v>
      </c>
      <c r="B350" s="88" t="s">
        <v>192</v>
      </c>
      <c r="C350" s="39" t="s">
        <v>26</v>
      </c>
      <c r="D350" s="90">
        <v>1.1000000000000001</v>
      </c>
      <c r="E350" s="90">
        <f>ROUNDDOWN(자재단가대비표!N57,0)</f>
        <v>5000</v>
      </c>
      <c r="F350" s="90">
        <f>ROUNDDOWN(D350*E350,1)</f>
        <v>5500</v>
      </c>
      <c r="G350" s="90"/>
      <c r="H350" s="90"/>
      <c r="I350" s="90"/>
      <c r="J350" s="90"/>
      <c r="K350" s="90">
        <f t="shared" ref="K350:L356" si="49">E350+G350+I350</f>
        <v>5000</v>
      </c>
      <c r="L350" s="90">
        <f t="shared" si="49"/>
        <v>5500</v>
      </c>
      <c r="M350" s="70"/>
      <c r="O350" s="31" t="s">
        <v>457</v>
      </c>
      <c r="P350" s="31" t="s">
        <v>452</v>
      </c>
      <c r="Q350" s="27">
        <v>1</v>
      </c>
    </row>
    <row r="351" spans="1:17" ht="16.5" customHeight="1">
      <c r="A351" s="88" t="s">
        <v>293</v>
      </c>
      <c r="B351" s="88" t="s">
        <v>294</v>
      </c>
      <c r="C351" s="39" t="s">
        <v>26</v>
      </c>
      <c r="D351" s="90">
        <v>1.05</v>
      </c>
      <c r="E351" s="90">
        <f>ROUNDDOWN(자재단가대비표!N89,0)</f>
        <v>70000</v>
      </c>
      <c r="F351" s="90">
        <f>ROUNDDOWN(D351*E351,1)</f>
        <v>73500</v>
      </c>
      <c r="G351" s="90"/>
      <c r="H351" s="90"/>
      <c r="I351" s="90"/>
      <c r="J351" s="90"/>
      <c r="K351" s="90">
        <f t="shared" si="49"/>
        <v>70000</v>
      </c>
      <c r="L351" s="90">
        <f t="shared" si="49"/>
        <v>73500</v>
      </c>
      <c r="M351" s="70"/>
      <c r="O351" s="31" t="s">
        <v>457</v>
      </c>
      <c r="P351" s="31" t="s">
        <v>452</v>
      </c>
      <c r="Q351" s="27">
        <v>1</v>
      </c>
    </row>
    <row r="352" spans="1:17" ht="16.5" customHeight="1">
      <c r="A352" s="88" t="s">
        <v>256</v>
      </c>
      <c r="B352" s="88" t="s">
        <v>257</v>
      </c>
      <c r="C352" s="39" t="s">
        <v>17</v>
      </c>
      <c r="D352" s="90">
        <v>0.2</v>
      </c>
      <c r="E352" s="90">
        <f>ROUNDDOWN(자재단가대비표!N77,0)</f>
        <v>238000</v>
      </c>
      <c r="F352" s="90">
        <f>ROUNDDOWN(D352*E352,1)</f>
        <v>47600</v>
      </c>
      <c r="G352" s="90"/>
      <c r="H352" s="90"/>
      <c r="I352" s="90"/>
      <c r="J352" s="90"/>
      <c r="K352" s="90">
        <f t="shared" si="49"/>
        <v>238000</v>
      </c>
      <c r="L352" s="90">
        <f t="shared" si="49"/>
        <v>47600</v>
      </c>
      <c r="M352" s="70"/>
      <c r="O352" s="31" t="s">
        <v>457</v>
      </c>
      <c r="P352" s="31" t="s">
        <v>452</v>
      </c>
      <c r="Q352" s="27">
        <v>1</v>
      </c>
    </row>
    <row r="353" spans="1:17" ht="16.5" customHeight="1">
      <c r="A353" s="88" t="s">
        <v>349</v>
      </c>
      <c r="B353" s="88" t="s">
        <v>19</v>
      </c>
      <c r="C353" s="39" t="s">
        <v>339</v>
      </c>
      <c r="D353" s="90">
        <v>7.0000000000000007E-2</v>
      </c>
      <c r="E353" s="90"/>
      <c r="F353" s="90"/>
      <c r="G353" s="90">
        <f>ROUNDDOWN(자재단가대비표!N116,0)</f>
        <v>247311</v>
      </c>
      <c r="H353" s="90">
        <f>ROUNDDOWN(D353*G353,1)</f>
        <v>17311.7</v>
      </c>
      <c r="I353" s="90"/>
      <c r="J353" s="90"/>
      <c r="K353" s="90">
        <f t="shared" si="49"/>
        <v>247311</v>
      </c>
      <c r="L353" s="90">
        <f t="shared" si="49"/>
        <v>17311.7</v>
      </c>
      <c r="M353" s="70"/>
      <c r="O353" s="31" t="s">
        <v>462</v>
      </c>
      <c r="P353" s="31" t="s">
        <v>452</v>
      </c>
      <c r="Q353" s="27">
        <v>1</v>
      </c>
    </row>
    <row r="354" spans="1:17" ht="16.5" customHeight="1">
      <c r="A354" s="88" t="s">
        <v>352</v>
      </c>
      <c r="B354" s="88" t="s">
        <v>19</v>
      </c>
      <c r="C354" s="39" t="s">
        <v>339</v>
      </c>
      <c r="D354" s="90">
        <v>7.0000000000000007E-2</v>
      </c>
      <c r="E354" s="90"/>
      <c r="F354" s="90"/>
      <c r="G354" s="90">
        <f>ROUNDDOWN(자재단가대비표!N119,0)</f>
        <v>87805</v>
      </c>
      <c r="H354" s="90">
        <f>ROUNDDOWN(D354*G354,1)</f>
        <v>6146.3</v>
      </c>
      <c r="I354" s="90"/>
      <c r="J354" s="90"/>
      <c r="K354" s="90">
        <f t="shared" si="49"/>
        <v>87805</v>
      </c>
      <c r="L354" s="90">
        <f t="shared" si="49"/>
        <v>6146.3</v>
      </c>
      <c r="M354" s="70"/>
      <c r="O354" s="31" t="s">
        <v>462</v>
      </c>
      <c r="P354" s="31" t="s">
        <v>452</v>
      </c>
      <c r="Q354" s="27">
        <v>1</v>
      </c>
    </row>
    <row r="355" spans="1:17" ht="16.5" customHeight="1">
      <c r="A355" s="88" t="s">
        <v>674</v>
      </c>
      <c r="B355" s="34" t="str">
        <f>"노무비의 "&amp;N355*100&amp;"%"</f>
        <v>노무비의 5%</v>
      </c>
      <c r="C355" s="39" t="s">
        <v>459</v>
      </c>
      <c r="D355" s="94" t="s">
        <v>460</v>
      </c>
      <c r="E355" s="90">
        <f>SUMIF($O$349:O356, "02", $H$349:H356)</f>
        <v>23458</v>
      </c>
      <c r="F355" s="90">
        <f>ROUNDDOWN(E355*N355,1)</f>
        <v>1172.9000000000001</v>
      </c>
      <c r="G355" s="90"/>
      <c r="H355" s="90"/>
      <c r="I355" s="90"/>
      <c r="J355" s="90"/>
      <c r="K355" s="90">
        <f t="shared" si="49"/>
        <v>23458</v>
      </c>
      <c r="L355" s="90">
        <f t="shared" si="49"/>
        <v>1172.9000000000001</v>
      </c>
      <c r="M355" s="70"/>
      <c r="N355" s="32">
        <v>0.05</v>
      </c>
      <c r="P355" s="31" t="s">
        <v>452</v>
      </c>
      <c r="Q355" s="27">
        <v>1</v>
      </c>
    </row>
    <row r="356" spans="1:17" ht="16.5" customHeight="1">
      <c r="A356" s="88" t="s">
        <v>538</v>
      </c>
      <c r="B356" s="34" t="str">
        <f>"노무비의 "&amp;N356*100&amp;"%"</f>
        <v>노무비의 1%</v>
      </c>
      <c r="C356" s="39" t="s">
        <v>459</v>
      </c>
      <c r="D356" s="94" t="s">
        <v>460</v>
      </c>
      <c r="E356" s="90">
        <f>SUMIF($O$349:O356, "02", $H$349:H356)</f>
        <v>23458</v>
      </c>
      <c r="F356" s="90">
        <f>ROUNDDOWN(E356*N356,1)</f>
        <v>234.5</v>
      </c>
      <c r="G356" s="90"/>
      <c r="H356" s="90"/>
      <c r="I356" s="90"/>
      <c r="J356" s="90"/>
      <c r="K356" s="90">
        <f t="shared" si="49"/>
        <v>23458</v>
      </c>
      <c r="L356" s="90">
        <f t="shared" si="49"/>
        <v>234.5</v>
      </c>
      <c r="M356" s="71" t="s">
        <v>539</v>
      </c>
      <c r="N356" s="32">
        <v>0.01</v>
      </c>
      <c r="P356" s="31" t="s">
        <v>452</v>
      </c>
      <c r="Q356" s="27">
        <v>1</v>
      </c>
    </row>
    <row r="357" spans="1:17" ht="16.5" customHeight="1">
      <c r="A357" s="116" t="s">
        <v>419</v>
      </c>
      <c r="B357" s="65"/>
      <c r="C357" s="66"/>
      <c r="D357" s="67"/>
      <c r="E357" s="67"/>
      <c r="F357" s="123">
        <f>ROUNDDOWN(SUMIF($Q$350:$Q$356, 1,$F$350:$F$356),0)</f>
        <v>128007</v>
      </c>
      <c r="G357" s="67"/>
      <c r="H357" s="123">
        <f>ROUNDDOWN(SUMIF($Q$350:$Q$356, 1,$H$350:$H$356),0)</f>
        <v>23458</v>
      </c>
      <c r="I357" s="67"/>
      <c r="J357" s="123">
        <f>ROUNDDOWN(SUMIF($Q$350:$Q$356, 1,$J$350:$J$356),0)</f>
        <v>0</v>
      </c>
      <c r="K357" s="67"/>
      <c r="L357" s="123">
        <f>F357+H357+J357</f>
        <v>151465</v>
      </c>
      <c r="M357" s="69"/>
    </row>
    <row r="358" spans="1:17" ht="16.5" customHeight="1">
      <c r="A358" s="88" t="s">
        <v>914</v>
      </c>
      <c r="B358" s="88" t="s">
        <v>695</v>
      </c>
      <c r="C358" s="39" t="s">
        <v>26</v>
      </c>
      <c r="D358" s="90"/>
      <c r="E358" s="90"/>
      <c r="F358" s="90"/>
      <c r="G358" s="90"/>
      <c r="H358" s="90"/>
      <c r="I358" s="90"/>
      <c r="J358" s="90"/>
      <c r="K358" s="90"/>
      <c r="L358" s="90"/>
      <c r="M358" s="71" t="s">
        <v>477</v>
      </c>
    </row>
    <row r="359" spans="1:17" ht="16.5" customHeight="1">
      <c r="A359" s="88" t="s">
        <v>274</v>
      </c>
      <c r="B359" s="88" t="s">
        <v>275</v>
      </c>
      <c r="C359" s="39" t="s">
        <v>276</v>
      </c>
      <c r="D359" s="90">
        <v>1.1000000000000001</v>
      </c>
      <c r="E359" s="90">
        <f>ROUNDDOWN(자재단가대비표!N82,0)</f>
        <v>17200</v>
      </c>
      <c r="F359" s="90">
        <f>ROUNDDOWN(D359*E359,1)</f>
        <v>18920</v>
      </c>
      <c r="G359" s="90"/>
      <c r="H359" s="90"/>
      <c r="I359" s="90"/>
      <c r="J359" s="90"/>
      <c r="K359" s="90">
        <f t="shared" ref="K359:L362" si="50">E359+G359+I359</f>
        <v>17200</v>
      </c>
      <c r="L359" s="90">
        <f t="shared" si="50"/>
        <v>18920</v>
      </c>
      <c r="M359" s="70"/>
      <c r="O359" s="31" t="s">
        <v>457</v>
      </c>
      <c r="P359" s="31" t="s">
        <v>452</v>
      </c>
      <c r="Q359" s="27">
        <v>1</v>
      </c>
    </row>
    <row r="360" spans="1:17" ht="16.5" customHeight="1">
      <c r="A360" s="88" t="s">
        <v>306</v>
      </c>
      <c r="B360" s="88" t="s">
        <v>307</v>
      </c>
      <c r="C360" s="39" t="s">
        <v>58</v>
      </c>
      <c r="D360" s="90">
        <v>0.27500000000000002</v>
      </c>
      <c r="E360" s="90">
        <f>ROUNDDOWN(자재단가대비표!N92,0)</f>
        <v>2450</v>
      </c>
      <c r="F360" s="90">
        <f>ROUNDDOWN(D360*E360,1)</f>
        <v>673.7</v>
      </c>
      <c r="G360" s="90"/>
      <c r="H360" s="90"/>
      <c r="I360" s="90"/>
      <c r="J360" s="90"/>
      <c r="K360" s="90">
        <f t="shared" si="50"/>
        <v>2450</v>
      </c>
      <c r="L360" s="90">
        <f t="shared" si="50"/>
        <v>673.7</v>
      </c>
      <c r="M360" s="70"/>
      <c r="O360" s="31" t="s">
        <v>457</v>
      </c>
      <c r="P360" s="31" t="s">
        <v>452</v>
      </c>
      <c r="Q360" s="27">
        <v>1</v>
      </c>
    </row>
    <row r="361" spans="1:17" ht="16.5" customHeight="1">
      <c r="A361" s="88" t="s">
        <v>344</v>
      </c>
      <c r="B361" s="88" t="s">
        <v>19</v>
      </c>
      <c r="C361" s="39" t="s">
        <v>339</v>
      </c>
      <c r="D361" s="90">
        <v>4.1999999999999996E-2</v>
      </c>
      <c r="E361" s="90"/>
      <c r="F361" s="90"/>
      <c r="G361" s="90">
        <f>ROUNDDOWN(자재단가대비표!N111,0)</f>
        <v>135112</v>
      </c>
      <c r="H361" s="90">
        <f>ROUNDDOWN(D361*G361,1)</f>
        <v>5674.7</v>
      </c>
      <c r="I361" s="90"/>
      <c r="J361" s="90"/>
      <c r="K361" s="90">
        <f t="shared" si="50"/>
        <v>135112</v>
      </c>
      <c r="L361" s="90">
        <f t="shared" si="50"/>
        <v>5674.7</v>
      </c>
      <c r="M361" s="70"/>
      <c r="O361" s="31" t="s">
        <v>462</v>
      </c>
      <c r="P361" s="31" t="s">
        <v>452</v>
      </c>
      <c r="Q361" s="27">
        <v>1</v>
      </c>
    </row>
    <row r="362" spans="1:17" ht="16.5" customHeight="1">
      <c r="A362" s="88" t="s">
        <v>352</v>
      </c>
      <c r="B362" s="88" t="s">
        <v>19</v>
      </c>
      <c r="C362" s="39" t="s">
        <v>339</v>
      </c>
      <c r="D362" s="90">
        <v>3.5000000000000003E-2</v>
      </c>
      <c r="E362" s="90"/>
      <c r="F362" s="90"/>
      <c r="G362" s="90">
        <f>ROUNDDOWN(자재단가대비표!N119,0)</f>
        <v>87805</v>
      </c>
      <c r="H362" s="90">
        <f>ROUNDDOWN(D362*G362,1)</f>
        <v>3073.1</v>
      </c>
      <c r="I362" s="90"/>
      <c r="J362" s="90"/>
      <c r="K362" s="90">
        <f t="shared" si="50"/>
        <v>87805</v>
      </c>
      <c r="L362" s="90">
        <f t="shared" si="50"/>
        <v>3073.1</v>
      </c>
      <c r="M362" s="70"/>
      <c r="O362" s="31" t="s">
        <v>462</v>
      </c>
      <c r="P362" s="31" t="s">
        <v>452</v>
      </c>
      <c r="Q362" s="27">
        <v>1</v>
      </c>
    </row>
    <row r="363" spans="1:17" ht="16.5" customHeight="1">
      <c r="A363" s="116" t="s">
        <v>419</v>
      </c>
      <c r="B363" s="65"/>
      <c r="C363" s="66"/>
      <c r="D363" s="67"/>
      <c r="E363" s="67"/>
      <c r="F363" s="123">
        <f>ROUNDDOWN(SUMIF($Q$359:$Q$362, 1,$F$359:$F$362),0)</f>
        <v>19593</v>
      </c>
      <c r="G363" s="67"/>
      <c r="H363" s="123">
        <f>ROUNDDOWN(SUMIF($Q$359:$Q$362, 1,$H$359:$H$362),0)</f>
        <v>8747</v>
      </c>
      <c r="I363" s="67"/>
      <c r="J363" s="123">
        <f>ROUNDDOWN(SUMIF($Q$359:$Q$362, 1,$J$359:$J$362),0)</f>
        <v>0</v>
      </c>
      <c r="K363" s="67"/>
      <c r="L363" s="123">
        <f>F363+H363+J363</f>
        <v>28340</v>
      </c>
      <c r="M363" s="69"/>
    </row>
    <row r="364" spans="1:17" ht="16.5" customHeight="1">
      <c r="A364" s="88" t="s">
        <v>915</v>
      </c>
      <c r="B364" s="88" t="s">
        <v>696</v>
      </c>
      <c r="C364" s="39" t="s">
        <v>697</v>
      </c>
      <c r="D364" s="90"/>
      <c r="E364" s="90"/>
      <c r="F364" s="90"/>
      <c r="G364" s="90"/>
      <c r="H364" s="90"/>
      <c r="I364" s="90"/>
      <c r="J364" s="90"/>
      <c r="K364" s="90"/>
      <c r="L364" s="90"/>
      <c r="M364" s="71" t="s">
        <v>19</v>
      </c>
    </row>
    <row r="365" spans="1:17" ht="16.5" customHeight="1">
      <c r="A365" s="88" t="s">
        <v>698</v>
      </c>
      <c r="B365" s="88" t="s">
        <v>699</v>
      </c>
      <c r="C365" s="39" t="s">
        <v>34</v>
      </c>
      <c r="D365" s="90">
        <v>24</v>
      </c>
      <c r="E365" s="90">
        <f>ROUNDDOWN(일위대가표!F371,0)</f>
        <v>2372</v>
      </c>
      <c r="F365" s="90">
        <f>ROUNDDOWN(D365*E365,1)</f>
        <v>56928</v>
      </c>
      <c r="G365" s="90">
        <f>ROUNDDOWN(일위대가표!H371,0)</f>
        <v>5897</v>
      </c>
      <c r="H365" s="90">
        <f>ROUNDDOWN(D365*G365,1)</f>
        <v>141528</v>
      </c>
      <c r="I365" s="90">
        <f>ROUNDDOWN(일위대가표!J371,0)</f>
        <v>22</v>
      </c>
      <c r="J365" s="90">
        <f>ROUNDDOWN(D365*I365,1)</f>
        <v>528</v>
      </c>
      <c r="K365" s="90">
        <f>E365+G365+I365</f>
        <v>8291</v>
      </c>
      <c r="L365" s="90">
        <f>F365+H365+J365</f>
        <v>198984</v>
      </c>
      <c r="M365" s="71" t="s">
        <v>800</v>
      </c>
      <c r="P365" s="31" t="s">
        <v>452</v>
      </c>
      <c r="Q365" s="27">
        <v>1</v>
      </c>
    </row>
    <row r="366" spans="1:17" ht="16.5" customHeight="1">
      <c r="A366" s="116" t="s">
        <v>419</v>
      </c>
      <c r="B366" s="65"/>
      <c r="C366" s="66"/>
      <c r="D366" s="67"/>
      <c r="E366" s="67"/>
      <c r="F366" s="123">
        <f>ROUNDDOWN(SUMIF($Q$365:$Q$365, 1,$F$365:$F$365),0)</f>
        <v>56928</v>
      </c>
      <c r="G366" s="67"/>
      <c r="H366" s="123">
        <f>ROUNDDOWN(SUMIF($Q$365:$Q$365, 1,$H$365:$H$365),0)</f>
        <v>141528</v>
      </c>
      <c r="I366" s="67"/>
      <c r="J366" s="123">
        <f>ROUNDDOWN(SUMIF($Q$365:$Q$365, 1,$J$365:$J$365),0)</f>
        <v>528</v>
      </c>
      <c r="K366" s="67"/>
      <c r="L366" s="123">
        <f>F366+H366+J366</f>
        <v>198984</v>
      </c>
      <c r="M366" s="69"/>
    </row>
    <row r="367" spans="1:17" ht="16.5" customHeight="1">
      <c r="A367" s="88" t="s">
        <v>916</v>
      </c>
      <c r="B367" s="88" t="s">
        <v>699</v>
      </c>
      <c r="C367" s="39" t="s">
        <v>34</v>
      </c>
      <c r="D367" s="90"/>
      <c r="E367" s="90"/>
      <c r="F367" s="90"/>
      <c r="G367" s="90"/>
      <c r="H367" s="90"/>
      <c r="I367" s="90"/>
      <c r="J367" s="90"/>
      <c r="K367" s="90"/>
      <c r="L367" s="90"/>
      <c r="M367" s="71" t="s">
        <v>19</v>
      </c>
    </row>
    <row r="368" spans="1:17" ht="16.5" customHeight="1">
      <c r="A368" s="88" t="s">
        <v>82</v>
      </c>
      <c r="B368" s="88" t="s">
        <v>83</v>
      </c>
      <c r="C368" s="39" t="s">
        <v>34</v>
      </c>
      <c r="D368" s="90">
        <v>1.05</v>
      </c>
      <c r="E368" s="90">
        <f>ROUNDDOWN(자재단가대비표!N24,0)</f>
        <v>1810</v>
      </c>
      <c r="F368" s="90">
        <f>ROUNDDOWN(D368*E368,1)</f>
        <v>1900.5</v>
      </c>
      <c r="G368" s="90"/>
      <c r="H368" s="90"/>
      <c r="I368" s="90"/>
      <c r="J368" s="90"/>
      <c r="K368" s="90">
        <f t="shared" ref="K368:L370" si="51">E368+G368+I368</f>
        <v>1810</v>
      </c>
      <c r="L368" s="90">
        <f t="shared" si="51"/>
        <v>1900.5</v>
      </c>
      <c r="M368" s="70"/>
      <c r="O368" s="31" t="s">
        <v>457</v>
      </c>
      <c r="P368" s="31" t="s">
        <v>452</v>
      </c>
      <c r="Q368" s="27">
        <v>1</v>
      </c>
    </row>
    <row r="369" spans="1:17" ht="16.5" customHeight="1">
      <c r="A369" s="88" t="s">
        <v>604</v>
      </c>
      <c r="B369" s="88" t="s">
        <v>602</v>
      </c>
      <c r="C369" s="39" t="s">
        <v>58</v>
      </c>
      <c r="D369" s="90">
        <v>1.88</v>
      </c>
      <c r="E369" s="90">
        <f>ROUNDDOWN(일위대가표!F183,0)</f>
        <v>187</v>
      </c>
      <c r="F369" s="90">
        <f>ROUNDDOWN(D369*E369,1)</f>
        <v>351.5</v>
      </c>
      <c r="G369" s="90">
        <f>ROUNDDOWN(일위대가표!H183,0)</f>
        <v>3012</v>
      </c>
      <c r="H369" s="90">
        <f>ROUNDDOWN(D369*G369,1)</f>
        <v>5662.5</v>
      </c>
      <c r="I369" s="90">
        <f>ROUNDDOWN(일위대가표!J183,0)</f>
        <v>12</v>
      </c>
      <c r="J369" s="90">
        <f>ROUNDDOWN(D369*I369,1)</f>
        <v>22.5</v>
      </c>
      <c r="K369" s="90">
        <f t="shared" si="51"/>
        <v>3211</v>
      </c>
      <c r="L369" s="90">
        <f t="shared" si="51"/>
        <v>6036.5</v>
      </c>
      <c r="M369" s="71" t="s">
        <v>605</v>
      </c>
      <c r="P369" s="31" t="s">
        <v>452</v>
      </c>
      <c r="Q369" s="27">
        <v>1</v>
      </c>
    </row>
    <row r="370" spans="1:17" ht="16.5" customHeight="1">
      <c r="A370" s="88" t="s">
        <v>701</v>
      </c>
      <c r="B370" s="88" t="s">
        <v>702</v>
      </c>
      <c r="C370" s="39" t="s">
        <v>26</v>
      </c>
      <c r="D370" s="90">
        <v>0.16</v>
      </c>
      <c r="E370" s="90">
        <f>ROUNDDOWN(일위대가표!F378,0)</f>
        <v>752</v>
      </c>
      <c r="F370" s="90">
        <f>ROUNDDOWN(D370*E370,1)</f>
        <v>120.3</v>
      </c>
      <c r="G370" s="90">
        <f>ROUNDDOWN(일위대가표!H378,0)</f>
        <v>1466</v>
      </c>
      <c r="H370" s="90">
        <f>ROUNDDOWN(D370*G370,1)</f>
        <v>234.5</v>
      </c>
      <c r="I370" s="90"/>
      <c r="J370" s="90"/>
      <c r="K370" s="90">
        <f t="shared" si="51"/>
        <v>2218</v>
      </c>
      <c r="L370" s="90">
        <f t="shared" si="51"/>
        <v>354.8</v>
      </c>
      <c r="M370" s="71" t="s">
        <v>802</v>
      </c>
      <c r="P370" s="31" t="s">
        <v>452</v>
      </c>
      <c r="Q370" s="27">
        <v>1</v>
      </c>
    </row>
    <row r="371" spans="1:17" ht="16.5" customHeight="1">
      <c r="A371" s="116" t="s">
        <v>419</v>
      </c>
      <c r="B371" s="65"/>
      <c r="C371" s="66"/>
      <c r="D371" s="67"/>
      <c r="E371" s="67"/>
      <c r="F371" s="123">
        <f>ROUNDDOWN(SUMIF($Q$368:$Q$370, 1,$F$368:$F$370),0)</f>
        <v>2372</v>
      </c>
      <c r="G371" s="67"/>
      <c r="H371" s="123">
        <f>ROUNDDOWN(SUMIF($Q$368:$Q$370, 1,$H$368:$H$370),0)</f>
        <v>5897</v>
      </c>
      <c r="I371" s="67"/>
      <c r="J371" s="123">
        <f>ROUNDDOWN(SUMIF($Q$368:$Q$370, 1,$J$368:$J$370),0)</f>
        <v>22</v>
      </c>
      <c r="K371" s="67"/>
      <c r="L371" s="123">
        <f>F371+H371+J371</f>
        <v>8291</v>
      </c>
      <c r="M371" s="69"/>
    </row>
    <row r="372" spans="1:17" ht="16.5" customHeight="1">
      <c r="A372" s="88" t="s">
        <v>917</v>
      </c>
      <c r="B372" s="88" t="s">
        <v>702</v>
      </c>
      <c r="C372" s="39" t="s">
        <v>26</v>
      </c>
      <c r="D372" s="90"/>
      <c r="E372" s="90"/>
      <c r="F372" s="90"/>
      <c r="G372" s="90"/>
      <c r="H372" s="90"/>
      <c r="I372" s="90"/>
      <c r="J372" s="90"/>
      <c r="K372" s="90"/>
      <c r="L372" s="90"/>
      <c r="M372" s="71" t="s">
        <v>704</v>
      </c>
    </row>
    <row r="373" spans="1:17" ht="16.5" customHeight="1">
      <c r="A373" s="88" t="s">
        <v>77</v>
      </c>
      <c r="B373" s="88" t="s">
        <v>78</v>
      </c>
      <c r="C373" s="39" t="s">
        <v>72</v>
      </c>
      <c r="D373" s="90">
        <v>0.08</v>
      </c>
      <c r="E373" s="90">
        <f>ROUNDDOWN(자재단가대비표!N23,0)</f>
        <v>9040</v>
      </c>
      <c r="F373" s="90">
        <f>ROUNDDOWN(D373*E373,1)</f>
        <v>723.2</v>
      </c>
      <c r="G373" s="90"/>
      <c r="H373" s="90"/>
      <c r="I373" s="90"/>
      <c r="J373" s="90"/>
      <c r="K373" s="90">
        <f t="shared" ref="K373:L377" si="52">E373+G373+I373</f>
        <v>9040</v>
      </c>
      <c r="L373" s="90">
        <f t="shared" si="52"/>
        <v>723.2</v>
      </c>
      <c r="M373" s="70"/>
      <c r="O373" s="31" t="s">
        <v>685</v>
      </c>
      <c r="P373" s="31" t="s">
        <v>452</v>
      </c>
      <c r="Q373" s="27">
        <v>1</v>
      </c>
    </row>
    <row r="374" spans="1:17" ht="16.5" customHeight="1">
      <c r="A374" s="88" t="s">
        <v>226</v>
      </c>
      <c r="B374" s="88" t="s">
        <v>227</v>
      </c>
      <c r="C374" s="39" t="s">
        <v>72</v>
      </c>
      <c r="D374" s="90">
        <v>4.0000000000000001E-3</v>
      </c>
      <c r="E374" s="90">
        <f>ROUNDDOWN(자재단가대비표!N66,0)</f>
        <v>1777</v>
      </c>
      <c r="F374" s="90">
        <f>ROUNDDOWN(D374*E374,1)</f>
        <v>7.1</v>
      </c>
      <c r="G374" s="90"/>
      <c r="H374" s="90"/>
      <c r="I374" s="90"/>
      <c r="J374" s="90"/>
      <c r="K374" s="90">
        <f t="shared" si="52"/>
        <v>1777</v>
      </c>
      <c r="L374" s="90">
        <f t="shared" si="52"/>
        <v>7.1</v>
      </c>
      <c r="M374" s="70"/>
      <c r="O374" s="31" t="s">
        <v>685</v>
      </c>
      <c r="P374" s="31" t="s">
        <v>452</v>
      </c>
      <c r="Q374" s="27">
        <v>1</v>
      </c>
    </row>
    <row r="375" spans="1:17" ht="16.5" customHeight="1">
      <c r="A375" s="88" t="s">
        <v>674</v>
      </c>
      <c r="B375" s="34" t="str">
        <f>"주재료비의 "&amp;N375*100&amp;"%"</f>
        <v>주재료비의 3%</v>
      </c>
      <c r="C375" s="39" t="s">
        <v>459</v>
      </c>
      <c r="D375" s="94" t="s">
        <v>460</v>
      </c>
      <c r="E375" s="90">
        <f>SUMIF($O$372:O377, "05", $F$372:F377)</f>
        <v>730.30000000000007</v>
      </c>
      <c r="F375" s="90">
        <f>ROUNDDOWN(E375*N375,1)</f>
        <v>21.9</v>
      </c>
      <c r="G375" s="90"/>
      <c r="H375" s="90"/>
      <c r="I375" s="90"/>
      <c r="J375" s="90"/>
      <c r="K375" s="90">
        <f t="shared" si="52"/>
        <v>730.30000000000007</v>
      </c>
      <c r="L375" s="90">
        <f t="shared" si="52"/>
        <v>21.9</v>
      </c>
      <c r="M375" s="70"/>
      <c r="N375" s="32">
        <v>0.03</v>
      </c>
      <c r="P375" s="31" t="s">
        <v>452</v>
      </c>
      <c r="Q375" s="27">
        <v>1</v>
      </c>
    </row>
    <row r="376" spans="1:17" ht="16.5" customHeight="1">
      <c r="A376" s="88" t="s">
        <v>346</v>
      </c>
      <c r="B376" s="88" t="s">
        <v>19</v>
      </c>
      <c r="C376" s="39" t="s">
        <v>339</v>
      </c>
      <c r="D376" s="90">
        <v>1.0499999999999999E-2</v>
      </c>
      <c r="E376" s="90"/>
      <c r="F376" s="90"/>
      <c r="G376" s="90">
        <f>ROUNDDOWN(자재단가대비표!N113,0)</f>
        <v>122128</v>
      </c>
      <c r="H376" s="90">
        <f>ROUNDDOWN(D376*G376,1)</f>
        <v>1282.3</v>
      </c>
      <c r="I376" s="90"/>
      <c r="J376" s="90"/>
      <c r="K376" s="90">
        <f t="shared" si="52"/>
        <v>122128</v>
      </c>
      <c r="L376" s="90">
        <f t="shared" si="52"/>
        <v>1282.3</v>
      </c>
      <c r="M376" s="70"/>
      <c r="O376" s="31" t="s">
        <v>462</v>
      </c>
      <c r="P376" s="31" t="s">
        <v>452</v>
      </c>
      <c r="Q376" s="27">
        <v>1</v>
      </c>
    </row>
    <row r="377" spans="1:17" ht="16.5" customHeight="1">
      <c r="A377" s="88" t="s">
        <v>352</v>
      </c>
      <c r="B377" s="88" t="s">
        <v>19</v>
      </c>
      <c r="C377" s="39" t="s">
        <v>339</v>
      </c>
      <c r="D377" s="90">
        <v>2.0999999999999999E-3</v>
      </c>
      <c r="E377" s="90"/>
      <c r="F377" s="90"/>
      <c r="G377" s="90">
        <f>ROUNDDOWN(자재단가대비표!N119,0)</f>
        <v>87805</v>
      </c>
      <c r="H377" s="90">
        <f>ROUNDDOWN(D377*G377,1)</f>
        <v>184.3</v>
      </c>
      <c r="I377" s="90"/>
      <c r="J377" s="90"/>
      <c r="K377" s="90">
        <f t="shared" si="52"/>
        <v>87805</v>
      </c>
      <c r="L377" s="90">
        <f t="shared" si="52"/>
        <v>184.3</v>
      </c>
      <c r="M377" s="70"/>
      <c r="O377" s="31" t="s">
        <v>462</v>
      </c>
      <c r="P377" s="31" t="s">
        <v>452</v>
      </c>
      <c r="Q377" s="27">
        <v>1</v>
      </c>
    </row>
    <row r="378" spans="1:17" ht="16.5" customHeight="1">
      <c r="A378" s="116" t="s">
        <v>419</v>
      </c>
      <c r="B378" s="65"/>
      <c r="C378" s="66"/>
      <c r="D378" s="67"/>
      <c r="E378" s="67"/>
      <c r="F378" s="123">
        <f>ROUNDDOWN(SUMIF($Q$373:$Q$377, 1,$F$373:$F$377),0)</f>
        <v>752</v>
      </c>
      <c r="G378" s="67"/>
      <c r="H378" s="123">
        <f>ROUNDDOWN(SUMIF($Q$373:$Q$377, 1,$H$373:$H$377),0)</f>
        <v>1466</v>
      </c>
      <c r="I378" s="67"/>
      <c r="J378" s="123">
        <f>ROUNDDOWN(SUMIF($Q$373:$Q$377, 1,$J$373:$J$377),0)</f>
        <v>0</v>
      </c>
      <c r="K378" s="67"/>
      <c r="L378" s="123">
        <f>F378+H378+J378</f>
        <v>2218</v>
      </c>
      <c r="M378" s="69"/>
    </row>
    <row r="379" spans="1:17" ht="16.5" customHeight="1">
      <c r="A379" s="88" t="s">
        <v>918</v>
      </c>
      <c r="B379" s="88" t="s">
        <v>705</v>
      </c>
      <c r="C379" s="39" t="s">
        <v>26</v>
      </c>
      <c r="D379" s="90"/>
      <c r="E379" s="90"/>
      <c r="F379" s="90"/>
      <c r="G379" s="90"/>
      <c r="H379" s="90"/>
      <c r="I379" s="90"/>
      <c r="J379" s="90"/>
      <c r="K379" s="90"/>
      <c r="L379" s="90"/>
      <c r="M379" s="71" t="s">
        <v>706</v>
      </c>
    </row>
    <row r="380" spans="1:17" ht="16.5" customHeight="1">
      <c r="A380" s="88" t="s">
        <v>341</v>
      </c>
      <c r="B380" s="88" t="s">
        <v>19</v>
      </c>
      <c r="C380" s="39" t="s">
        <v>339</v>
      </c>
      <c r="D380" s="90">
        <v>1.0499999999999999E-2</v>
      </c>
      <c r="E380" s="90"/>
      <c r="F380" s="90"/>
      <c r="G380" s="90">
        <f>ROUNDDOWN(자재단가대비표!N109,0)</f>
        <v>139327</v>
      </c>
      <c r="H380" s="90">
        <f>ROUNDDOWN(D380*G380,1)</f>
        <v>1462.9</v>
      </c>
      <c r="I380" s="90"/>
      <c r="J380" s="90"/>
      <c r="K380" s="90">
        <f>E380+G380+I380</f>
        <v>139327</v>
      </c>
      <c r="L380" s="90">
        <f>F380+H380+J380</f>
        <v>1462.9</v>
      </c>
      <c r="M380" s="70"/>
      <c r="O380" s="31" t="s">
        <v>462</v>
      </c>
      <c r="P380" s="31" t="s">
        <v>452</v>
      </c>
      <c r="Q380" s="27">
        <v>1</v>
      </c>
    </row>
    <row r="381" spans="1:17" ht="16.5" customHeight="1">
      <c r="A381" s="88" t="s">
        <v>352</v>
      </c>
      <c r="B381" s="88" t="s">
        <v>19</v>
      </c>
      <c r="C381" s="39" t="s">
        <v>339</v>
      </c>
      <c r="D381" s="90">
        <v>2.0999999999999998E-2</v>
      </c>
      <c r="E381" s="90"/>
      <c r="F381" s="90"/>
      <c r="G381" s="90">
        <f>ROUNDDOWN(자재단가대비표!N119,0)</f>
        <v>87805</v>
      </c>
      <c r="H381" s="90">
        <f>ROUNDDOWN(D381*G381,1)</f>
        <v>1843.9</v>
      </c>
      <c r="I381" s="90"/>
      <c r="J381" s="90"/>
      <c r="K381" s="90">
        <f>E381+G381+I381</f>
        <v>87805</v>
      </c>
      <c r="L381" s="90">
        <f>F381+H381+J381</f>
        <v>1843.9</v>
      </c>
      <c r="M381" s="70"/>
      <c r="O381" s="31" t="s">
        <v>462</v>
      </c>
      <c r="P381" s="31" t="s">
        <v>452</v>
      </c>
      <c r="Q381" s="27">
        <v>1</v>
      </c>
    </row>
    <row r="382" spans="1:17" ht="16.5" customHeight="1">
      <c r="A382" s="116" t="s">
        <v>419</v>
      </c>
      <c r="B382" s="65"/>
      <c r="C382" s="66"/>
      <c r="D382" s="67"/>
      <c r="E382" s="67"/>
      <c r="F382" s="123">
        <f>ROUNDDOWN(SUMIF($Q$380:$Q$381, 1,$F$380:$F$381),0)</f>
        <v>0</v>
      </c>
      <c r="G382" s="67"/>
      <c r="H382" s="123">
        <f>ROUNDDOWN(SUMIF($Q$380:$Q$381, 1,$H$380:$H$381),0)</f>
        <v>3306</v>
      </c>
      <c r="I382" s="67"/>
      <c r="J382" s="123">
        <f>ROUNDDOWN(SUMIF($Q$380:$Q$381, 1,$J$380:$J$381),0)</f>
        <v>0</v>
      </c>
      <c r="K382" s="67"/>
      <c r="L382" s="123">
        <f>F382+H382+J382</f>
        <v>3306</v>
      </c>
      <c r="M382" s="69"/>
    </row>
    <row r="383" spans="1:17" ht="16.5" customHeight="1">
      <c r="A383" s="88" t="s">
        <v>919</v>
      </c>
      <c r="B383" s="88" t="s">
        <v>707</v>
      </c>
      <c r="C383" s="39" t="s">
        <v>26</v>
      </c>
      <c r="D383" s="90"/>
      <c r="E383" s="90"/>
      <c r="F383" s="90"/>
      <c r="G383" s="90"/>
      <c r="H383" s="90"/>
      <c r="I383" s="90"/>
      <c r="J383" s="90"/>
      <c r="K383" s="90"/>
      <c r="L383" s="90"/>
      <c r="M383" s="71" t="s">
        <v>706</v>
      </c>
    </row>
    <row r="384" spans="1:17" ht="16.5" customHeight="1">
      <c r="A384" s="88" t="s">
        <v>341</v>
      </c>
      <c r="B384" s="88" t="s">
        <v>19</v>
      </c>
      <c r="C384" s="39" t="s">
        <v>339</v>
      </c>
      <c r="D384" s="90">
        <v>3.5000000000000003E-2</v>
      </c>
      <c r="E384" s="90"/>
      <c r="F384" s="90"/>
      <c r="G384" s="90">
        <f>ROUNDDOWN(자재단가대비표!N109,0)</f>
        <v>139327</v>
      </c>
      <c r="H384" s="90">
        <f>ROUNDDOWN(D384*G384,1)</f>
        <v>4876.3999999999996</v>
      </c>
      <c r="I384" s="90"/>
      <c r="J384" s="90"/>
      <c r="K384" s="90">
        <f>E384+G384+I384</f>
        <v>139327</v>
      </c>
      <c r="L384" s="90">
        <f>F384+H384+J384</f>
        <v>4876.3999999999996</v>
      </c>
      <c r="M384" s="70"/>
      <c r="O384" s="31" t="s">
        <v>462</v>
      </c>
      <c r="P384" s="31" t="s">
        <v>452</v>
      </c>
      <c r="Q384" s="27">
        <v>1</v>
      </c>
    </row>
    <row r="385" spans="1:17" ht="16.5" customHeight="1">
      <c r="A385" s="88" t="s">
        <v>352</v>
      </c>
      <c r="B385" s="88" t="s">
        <v>19</v>
      </c>
      <c r="C385" s="39" t="s">
        <v>339</v>
      </c>
      <c r="D385" s="90">
        <v>1.7500000000000002E-2</v>
      </c>
      <c r="E385" s="90"/>
      <c r="F385" s="90"/>
      <c r="G385" s="90">
        <f>ROUNDDOWN(자재단가대비표!N119,0)</f>
        <v>87805</v>
      </c>
      <c r="H385" s="90">
        <f>ROUNDDOWN(D385*G385,1)</f>
        <v>1536.5</v>
      </c>
      <c r="I385" s="90"/>
      <c r="J385" s="90"/>
      <c r="K385" s="90">
        <f>E385+G385+I385</f>
        <v>87805</v>
      </c>
      <c r="L385" s="90">
        <f>F385+H385+J385</f>
        <v>1536.5</v>
      </c>
      <c r="M385" s="70"/>
      <c r="O385" s="31" t="s">
        <v>462</v>
      </c>
      <c r="P385" s="31" t="s">
        <v>452</v>
      </c>
      <c r="Q385" s="27">
        <v>1</v>
      </c>
    </row>
    <row r="386" spans="1:17" ht="16.5" customHeight="1">
      <c r="A386" s="116" t="s">
        <v>419</v>
      </c>
      <c r="B386" s="65"/>
      <c r="C386" s="66"/>
      <c r="D386" s="67"/>
      <c r="E386" s="67"/>
      <c r="F386" s="123">
        <f>ROUNDDOWN(SUMIF($Q$384:$Q$385, 1,$F$384:$F$385),0)</f>
        <v>0</v>
      </c>
      <c r="G386" s="67"/>
      <c r="H386" s="123">
        <f>ROUNDDOWN(SUMIF($Q$384:$Q$385, 1,$H$384:$H$385),0)</f>
        <v>6412</v>
      </c>
      <c r="I386" s="67"/>
      <c r="J386" s="123">
        <f>ROUNDDOWN(SUMIF($Q$384:$Q$385, 1,$J$384:$J$385),0)</f>
        <v>0</v>
      </c>
      <c r="K386" s="67"/>
      <c r="L386" s="123">
        <f>F386+H386+J386</f>
        <v>6412</v>
      </c>
      <c r="M386" s="69"/>
    </row>
    <row r="387" spans="1:17" ht="16.5" customHeight="1">
      <c r="A387" s="88" t="s">
        <v>920</v>
      </c>
      <c r="B387" s="88" t="s">
        <v>19</v>
      </c>
      <c r="C387" s="39" t="s">
        <v>26</v>
      </c>
      <c r="D387" s="90"/>
      <c r="E387" s="90"/>
      <c r="F387" s="90"/>
      <c r="G387" s="90"/>
      <c r="H387" s="90"/>
      <c r="I387" s="90"/>
      <c r="J387" s="90"/>
      <c r="K387" s="90"/>
      <c r="L387" s="90"/>
      <c r="M387" s="71" t="s">
        <v>708</v>
      </c>
    </row>
    <row r="388" spans="1:17" ht="16.5" customHeight="1">
      <c r="A388" s="88" t="s">
        <v>341</v>
      </c>
      <c r="B388" s="88" t="s">
        <v>19</v>
      </c>
      <c r="C388" s="39" t="s">
        <v>339</v>
      </c>
      <c r="D388" s="90">
        <v>2.5199999999999997E-2</v>
      </c>
      <c r="E388" s="90"/>
      <c r="F388" s="90"/>
      <c r="G388" s="90">
        <f>ROUNDDOWN(자재단가대비표!N109,0)</f>
        <v>139327</v>
      </c>
      <c r="H388" s="90">
        <f>ROUNDDOWN(D388*G388,1)</f>
        <v>3511</v>
      </c>
      <c r="I388" s="90"/>
      <c r="J388" s="90"/>
      <c r="K388" s="90">
        <f>E388+G388+I388</f>
        <v>139327</v>
      </c>
      <c r="L388" s="90">
        <f>F388+H388+J388</f>
        <v>3511</v>
      </c>
      <c r="M388" s="70"/>
      <c r="O388" s="31" t="s">
        <v>462</v>
      </c>
      <c r="P388" s="31" t="s">
        <v>452</v>
      </c>
      <c r="Q388" s="27">
        <v>1</v>
      </c>
    </row>
    <row r="389" spans="1:17" ht="16.5" customHeight="1">
      <c r="A389" s="88" t="s">
        <v>352</v>
      </c>
      <c r="B389" s="88" t="s">
        <v>19</v>
      </c>
      <c r="C389" s="39" t="s">
        <v>339</v>
      </c>
      <c r="D389" s="90">
        <v>2.0999999999999998E-2</v>
      </c>
      <c r="E389" s="90"/>
      <c r="F389" s="90"/>
      <c r="G389" s="90">
        <f>ROUNDDOWN(자재단가대비표!N119,0)</f>
        <v>87805</v>
      </c>
      <c r="H389" s="90">
        <f>ROUNDDOWN(D389*G389,1)</f>
        <v>1843.9</v>
      </c>
      <c r="I389" s="90"/>
      <c r="J389" s="90"/>
      <c r="K389" s="90">
        <f>E389+G389+I389</f>
        <v>87805</v>
      </c>
      <c r="L389" s="90">
        <f>F389+H389+J389</f>
        <v>1843.9</v>
      </c>
      <c r="M389" s="70"/>
      <c r="O389" s="31" t="s">
        <v>462</v>
      </c>
      <c r="P389" s="31" t="s">
        <v>452</v>
      </c>
      <c r="Q389" s="27">
        <v>1</v>
      </c>
    </row>
    <row r="390" spans="1:17" ht="16.5" customHeight="1">
      <c r="A390" s="116" t="s">
        <v>419</v>
      </c>
      <c r="B390" s="65"/>
      <c r="C390" s="66"/>
      <c r="D390" s="67"/>
      <c r="E390" s="67"/>
      <c r="F390" s="123">
        <f>ROUNDDOWN(SUMIF($Q$388:$Q$389, 1,$F$388:$F$389),0)</f>
        <v>0</v>
      </c>
      <c r="G390" s="67"/>
      <c r="H390" s="123">
        <f>ROUNDDOWN(SUMIF($Q$388:$Q$389, 1,$H$388:$H$389),0)</f>
        <v>5354</v>
      </c>
      <c r="I390" s="67"/>
      <c r="J390" s="123">
        <f>ROUNDDOWN(SUMIF($Q$388:$Q$389, 1,$J$388:$J$389),0)</f>
        <v>0</v>
      </c>
      <c r="K390" s="67"/>
      <c r="L390" s="123">
        <f>F390+H390+J390</f>
        <v>5354</v>
      </c>
      <c r="M390" s="69"/>
    </row>
    <row r="391" spans="1:17" ht="16.5" customHeight="1">
      <c r="A391" s="88" t="s">
        <v>921</v>
      </c>
      <c r="B391" s="88" t="s">
        <v>19</v>
      </c>
      <c r="C391" s="39" t="s">
        <v>26</v>
      </c>
      <c r="D391" s="90"/>
      <c r="E391" s="90"/>
      <c r="F391" s="90"/>
      <c r="G391" s="90"/>
      <c r="H391" s="90"/>
      <c r="I391" s="90"/>
      <c r="J391" s="90"/>
      <c r="K391" s="90"/>
      <c r="L391" s="90"/>
      <c r="M391" s="71" t="s">
        <v>706</v>
      </c>
    </row>
    <row r="392" spans="1:17" ht="16.5" customHeight="1">
      <c r="A392" s="88" t="s">
        <v>341</v>
      </c>
      <c r="B392" s="88" t="s">
        <v>19</v>
      </c>
      <c r="C392" s="39" t="s">
        <v>339</v>
      </c>
      <c r="D392" s="90">
        <v>4.1999999999999996E-2</v>
      </c>
      <c r="E392" s="90"/>
      <c r="F392" s="90"/>
      <c r="G392" s="90">
        <f>ROUNDDOWN(자재단가대비표!N109,0)</f>
        <v>139327</v>
      </c>
      <c r="H392" s="90">
        <f>ROUNDDOWN(D392*G392,1)</f>
        <v>5851.7</v>
      </c>
      <c r="I392" s="90"/>
      <c r="J392" s="90"/>
      <c r="K392" s="90">
        <f>E392+G392+I392</f>
        <v>139327</v>
      </c>
      <c r="L392" s="90">
        <f>F392+H392+J392</f>
        <v>5851.7</v>
      </c>
      <c r="M392" s="70"/>
      <c r="O392" s="31" t="s">
        <v>462</v>
      </c>
      <c r="P392" s="31" t="s">
        <v>452</v>
      </c>
      <c r="Q392" s="27">
        <v>1</v>
      </c>
    </row>
    <row r="393" spans="1:17" ht="16.5" customHeight="1">
      <c r="A393" s="88" t="s">
        <v>352</v>
      </c>
      <c r="B393" s="88" t="s">
        <v>19</v>
      </c>
      <c r="C393" s="39" t="s">
        <v>339</v>
      </c>
      <c r="D393" s="90">
        <v>2.0999999999999998E-2</v>
      </c>
      <c r="E393" s="90"/>
      <c r="F393" s="90"/>
      <c r="G393" s="90">
        <f>ROUNDDOWN(자재단가대비표!N119,0)</f>
        <v>87805</v>
      </c>
      <c r="H393" s="90">
        <f>ROUNDDOWN(D393*G393,1)</f>
        <v>1843.9</v>
      </c>
      <c r="I393" s="90"/>
      <c r="J393" s="90"/>
      <c r="K393" s="90">
        <f>E393+G393+I393</f>
        <v>87805</v>
      </c>
      <c r="L393" s="90">
        <f>F393+H393+J393</f>
        <v>1843.9</v>
      </c>
      <c r="M393" s="70"/>
      <c r="O393" s="31" t="s">
        <v>462</v>
      </c>
      <c r="P393" s="31" t="s">
        <v>452</v>
      </c>
      <c r="Q393" s="27">
        <v>1</v>
      </c>
    </row>
    <row r="394" spans="1:17" ht="16.5" customHeight="1">
      <c r="A394" s="116" t="s">
        <v>419</v>
      </c>
      <c r="B394" s="65"/>
      <c r="C394" s="66"/>
      <c r="D394" s="67"/>
      <c r="E394" s="67"/>
      <c r="F394" s="123">
        <f>ROUNDDOWN(SUMIF($Q$392:$Q$393, 1,$F$392:$F$393),0)</f>
        <v>0</v>
      </c>
      <c r="G394" s="67"/>
      <c r="H394" s="123">
        <f>ROUNDDOWN(SUMIF($Q$392:$Q$393, 1,$H$392:$H$393),0)</f>
        <v>7695</v>
      </c>
      <c r="I394" s="67"/>
      <c r="J394" s="123">
        <f>ROUNDDOWN(SUMIF($Q$392:$Q$393, 1,$J$392:$J$393),0)</f>
        <v>0</v>
      </c>
      <c r="K394" s="67"/>
      <c r="L394" s="123">
        <f>F394+H394+J394</f>
        <v>7695</v>
      </c>
      <c r="M394" s="69"/>
    </row>
    <row r="395" spans="1:17" ht="16.5" customHeight="1">
      <c r="A395" s="88" t="s">
        <v>922</v>
      </c>
      <c r="B395" s="88" t="s">
        <v>709</v>
      </c>
      <c r="C395" s="39" t="s">
        <v>26</v>
      </c>
      <c r="D395" s="90"/>
      <c r="E395" s="90"/>
      <c r="F395" s="90"/>
      <c r="G395" s="90"/>
      <c r="H395" s="90"/>
      <c r="I395" s="90"/>
      <c r="J395" s="90"/>
      <c r="K395" s="90"/>
      <c r="L395" s="90"/>
      <c r="M395" s="71" t="s">
        <v>19</v>
      </c>
    </row>
    <row r="396" spans="1:17" ht="16.5" customHeight="1">
      <c r="A396" s="88" t="s">
        <v>363</v>
      </c>
      <c r="B396" s="88" t="s">
        <v>19</v>
      </c>
      <c r="C396" s="39" t="s">
        <v>339</v>
      </c>
      <c r="D396" s="90">
        <v>1.7500000000000002E-2</v>
      </c>
      <c r="E396" s="90"/>
      <c r="F396" s="90"/>
      <c r="G396" s="90">
        <f>ROUNDDOWN(자재단가대비표!N129,0)</f>
        <v>108245</v>
      </c>
      <c r="H396" s="90">
        <f>ROUNDDOWN(D396*G396,1)</f>
        <v>1894.2</v>
      </c>
      <c r="I396" s="90"/>
      <c r="J396" s="90"/>
      <c r="K396" s="90">
        <f>E396+G396+I396</f>
        <v>108245</v>
      </c>
      <c r="L396" s="90">
        <f>F396+H396+J396</f>
        <v>1894.2</v>
      </c>
      <c r="M396" s="70"/>
      <c r="O396" s="31" t="s">
        <v>462</v>
      </c>
      <c r="P396" s="31" t="s">
        <v>452</v>
      </c>
      <c r="Q396" s="27">
        <v>1</v>
      </c>
    </row>
    <row r="397" spans="1:17" ht="16.5" customHeight="1">
      <c r="A397" s="88" t="s">
        <v>352</v>
      </c>
      <c r="B397" s="88" t="s">
        <v>19</v>
      </c>
      <c r="C397" s="39" t="s">
        <v>339</v>
      </c>
      <c r="D397" s="90">
        <v>2.0999999999999998E-2</v>
      </c>
      <c r="E397" s="90"/>
      <c r="F397" s="90"/>
      <c r="G397" s="90">
        <f>ROUNDDOWN(자재단가대비표!N119,0)</f>
        <v>87805</v>
      </c>
      <c r="H397" s="90">
        <f>ROUNDDOWN(D397*G397,1)</f>
        <v>1843.9</v>
      </c>
      <c r="I397" s="90"/>
      <c r="J397" s="90"/>
      <c r="K397" s="90">
        <f>E397+G397+I397</f>
        <v>87805</v>
      </c>
      <c r="L397" s="90">
        <f>F397+H397+J397</f>
        <v>1843.9</v>
      </c>
      <c r="M397" s="70"/>
      <c r="O397" s="31" t="s">
        <v>462</v>
      </c>
      <c r="P397" s="31" t="s">
        <v>452</v>
      </c>
      <c r="Q397" s="27">
        <v>1</v>
      </c>
    </row>
    <row r="398" spans="1:17" ht="16.5" customHeight="1">
      <c r="A398" s="116" t="s">
        <v>419</v>
      </c>
      <c r="B398" s="65"/>
      <c r="C398" s="66"/>
      <c r="D398" s="67"/>
      <c r="E398" s="67"/>
      <c r="F398" s="123">
        <f>ROUNDDOWN(SUMIF($Q$396:$Q$397, 1,$F$396:$F$397),0)</f>
        <v>0</v>
      </c>
      <c r="G398" s="67"/>
      <c r="H398" s="123">
        <f>ROUNDDOWN(SUMIF($Q$396:$Q$397, 1,$H$396:$H$397),0)</f>
        <v>3738</v>
      </c>
      <c r="I398" s="67"/>
      <c r="J398" s="123">
        <f>ROUNDDOWN(SUMIF($Q$396:$Q$397, 1,$J$396:$J$397),0)</f>
        <v>0</v>
      </c>
      <c r="K398" s="67"/>
      <c r="L398" s="123">
        <f>F398+H398+J398</f>
        <v>3738</v>
      </c>
      <c r="M398" s="69"/>
    </row>
    <row r="399" spans="1:17" ht="16.5" customHeight="1">
      <c r="A399" s="88" t="s">
        <v>923</v>
      </c>
      <c r="B399" s="88" t="s">
        <v>710</v>
      </c>
      <c r="C399" s="39" t="s">
        <v>26</v>
      </c>
      <c r="D399" s="90"/>
      <c r="E399" s="90"/>
      <c r="F399" s="90"/>
      <c r="G399" s="90"/>
      <c r="H399" s="90"/>
      <c r="I399" s="90"/>
      <c r="J399" s="90"/>
      <c r="K399" s="90"/>
      <c r="L399" s="90"/>
      <c r="M399" s="71" t="s">
        <v>706</v>
      </c>
    </row>
    <row r="400" spans="1:17" ht="16.5" customHeight="1">
      <c r="A400" s="88" t="s">
        <v>352</v>
      </c>
      <c r="B400" s="88" t="s">
        <v>19</v>
      </c>
      <c r="C400" s="39" t="s">
        <v>339</v>
      </c>
      <c r="D400" s="90">
        <f>0.021/2</f>
        <v>1.0500000000000001E-2</v>
      </c>
      <c r="E400" s="90"/>
      <c r="F400" s="90"/>
      <c r="G400" s="90">
        <f>ROUNDDOWN(자재단가대비표!N119,0)</f>
        <v>87805</v>
      </c>
      <c r="H400" s="90">
        <f>ROUNDDOWN(D400*G400,1)</f>
        <v>921.9</v>
      </c>
      <c r="I400" s="90"/>
      <c r="J400" s="90"/>
      <c r="K400" s="90">
        <f>E400+G400+I400</f>
        <v>87805</v>
      </c>
      <c r="L400" s="90">
        <f>F400+H400+J400</f>
        <v>921.9</v>
      </c>
      <c r="M400" s="70"/>
      <c r="O400" s="31" t="s">
        <v>462</v>
      </c>
      <c r="P400" s="31" t="s">
        <v>452</v>
      </c>
      <c r="Q400" s="27">
        <v>1</v>
      </c>
    </row>
    <row r="401" spans="1:17" ht="16.5" customHeight="1">
      <c r="A401" s="116" t="s">
        <v>419</v>
      </c>
      <c r="B401" s="65"/>
      <c r="C401" s="66"/>
      <c r="D401" s="67"/>
      <c r="E401" s="67"/>
      <c r="F401" s="123">
        <f>ROUNDDOWN(SUMIF($Q$400:$Q$400, 1,$F$400:$F$400),0)</f>
        <v>0</v>
      </c>
      <c r="G401" s="67"/>
      <c r="H401" s="123">
        <f>ROUNDDOWN(SUMIF($Q$400:$Q$400, 1,$H$400:$H$400),0)</f>
        <v>921</v>
      </c>
      <c r="I401" s="67"/>
      <c r="J401" s="123">
        <f>ROUNDDOWN(SUMIF($Q$400:$Q$400, 1,$J$400:$J$400),0)</f>
        <v>0</v>
      </c>
      <c r="K401" s="67"/>
      <c r="L401" s="123">
        <f>F401+H401+J401</f>
        <v>921</v>
      </c>
      <c r="M401" s="69"/>
    </row>
    <row r="402" spans="1:17" ht="16.5" customHeight="1">
      <c r="A402" s="88" t="s">
        <v>924</v>
      </c>
      <c r="B402" s="88" t="s">
        <v>711</v>
      </c>
      <c r="C402" s="39" t="s">
        <v>26</v>
      </c>
      <c r="D402" s="90"/>
      <c r="E402" s="90"/>
      <c r="F402" s="90"/>
      <c r="G402" s="90"/>
      <c r="H402" s="90"/>
      <c r="I402" s="90"/>
      <c r="J402" s="90"/>
      <c r="K402" s="90"/>
      <c r="L402" s="90"/>
      <c r="M402" s="71" t="s">
        <v>712</v>
      </c>
    </row>
    <row r="403" spans="1:17" ht="16.5" customHeight="1">
      <c r="A403" s="88" t="s">
        <v>352</v>
      </c>
      <c r="B403" s="88" t="s">
        <v>19</v>
      </c>
      <c r="C403" s="39" t="s">
        <v>339</v>
      </c>
      <c r="D403" s="90">
        <v>2.0999999999999998E-2</v>
      </c>
      <c r="E403" s="90"/>
      <c r="F403" s="90"/>
      <c r="G403" s="90">
        <f>ROUNDDOWN(자재단가대비표!N119,0)</f>
        <v>87805</v>
      </c>
      <c r="H403" s="90">
        <f>ROUNDDOWN(D403*G403,1)</f>
        <v>1843.9</v>
      </c>
      <c r="I403" s="90"/>
      <c r="J403" s="90"/>
      <c r="K403" s="90">
        <f>E403+G403+I403</f>
        <v>87805</v>
      </c>
      <c r="L403" s="90">
        <f>F403+H403+J403</f>
        <v>1843.9</v>
      </c>
      <c r="M403" s="70"/>
      <c r="O403" s="31" t="s">
        <v>462</v>
      </c>
      <c r="P403" s="31" t="s">
        <v>452</v>
      </c>
      <c r="Q403" s="27">
        <v>1</v>
      </c>
    </row>
    <row r="404" spans="1:17" ht="16.5" customHeight="1">
      <c r="A404" s="116" t="s">
        <v>419</v>
      </c>
      <c r="B404" s="65"/>
      <c r="C404" s="66"/>
      <c r="D404" s="67"/>
      <c r="E404" s="67"/>
      <c r="F404" s="123">
        <f>ROUNDDOWN(SUMIF($Q$403:$Q$403, 1,$F$403:$F$403),0)</f>
        <v>0</v>
      </c>
      <c r="G404" s="67"/>
      <c r="H404" s="123">
        <f>ROUNDDOWN(SUMIF($Q$403:$Q$403, 1,$H$403:$H$403),0)</f>
        <v>1843</v>
      </c>
      <c r="I404" s="67"/>
      <c r="J404" s="123">
        <f>ROUNDDOWN(SUMIF($Q$403:$Q$403, 1,$J$403:$J$403),0)</f>
        <v>0</v>
      </c>
      <c r="K404" s="67"/>
      <c r="L404" s="123">
        <f>F404+H404+J404</f>
        <v>1843</v>
      </c>
      <c r="M404" s="69"/>
    </row>
    <row r="405" spans="1:17" ht="16.5" customHeight="1">
      <c r="A405" s="88" t="s">
        <v>925</v>
      </c>
      <c r="B405" s="88" t="s">
        <v>713</v>
      </c>
      <c r="C405" s="39" t="s">
        <v>237</v>
      </c>
      <c r="D405" s="90"/>
      <c r="E405" s="90"/>
      <c r="F405" s="90"/>
      <c r="G405" s="90"/>
      <c r="H405" s="90"/>
      <c r="I405" s="90"/>
      <c r="J405" s="90"/>
      <c r="K405" s="90"/>
      <c r="L405" s="90"/>
      <c r="M405" s="71" t="s">
        <v>714</v>
      </c>
    </row>
    <row r="406" spans="1:17" ht="16.5" customHeight="1">
      <c r="A406" s="88" t="s">
        <v>374</v>
      </c>
      <c r="B406" s="88" t="s">
        <v>454</v>
      </c>
      <c r="C406" s="39" t="s">
        <v>448</v>
      </c>
      <c r="D406" s="90">
        <v>1.46</v>
      </c>
      <c r="E406" s="90"/>
      <c r="F406" s="90"/>
      <c r="G406" s="90"/>
      <c r="H406" s="90"/>
      <c r="I406" s="90">
        <f>ROUNDDOWN(중기경비!J14,0)</f>
        <v>523</v>
      </c>
      <c r="J406" s="90">
        <f>ROUNDDOWN(D406*I406,1)</f>
        <v>763.5</v>
      </c>
      <c r="K406" s="90">
        <f t="shared" ref="K406:L409" si="53">E406+G406+I406</f>
        <v>523</v>
      </c>
      <c r="L406" s="90">
        <f t="shared" si="53"/>
        <v>763.5</v>
      </c>
      <c r="M406" s="71" t="s">
        <v>472</v>
      </c>
      <c r="P406" s="31" t="s">
        <v>452</v>
      </c>
      <c r="Q406" s="27">
        <v>1</v>
      </c>
    </row>
    <row r="407" spans="1:17" ht="16.5" customHeight="1">
      <c r="A407" s="88" t="s">
        <v>359</v>
      </c>
      <c r="B407" s="88" t="s">
        <v>19</v>
      </c>
      <c r="C407" s="39" t="s">
        <v>339</v>
      </c>
      <c r="D407" s="90">
        <v>0.20090000000000002</v>
      </c>
      <c r="E407" s="90"/>
      <c r="F407" s="90"/>
      <c r="G407" s="90">
        <f>ROUNDDOWN(자재단가대비표!N125,0)</f>
        <v>103874</v>
      </c>
      <c r="H407" s="90">
        <f>ROUNDDOWN(D407*G407,1)</f>
        <v>20868.2</v>
      </c>
      <c r="I407" s="90"/>
      <c r="J407" s="90"/>
      <c r="K407" s="90">
        <f t="shared" si="53"/>
        <v>103874</v>
      </c>
      <c r="L407" s="90">
        <f t="shared" si="53"/>
        <v>20868.2</v>
      </c>
      <c r="M407" s="70"/>
      <c r="O407" s="31" t="s">
        <v>580</v>
      </c>
      <c r="P407" s="31" t="s">
        <v>452</v>
      </c>
      <c r="Q407" s="27">
        <v>1</v>
      </c>
    </row>
    <row r="408" spans="1:17" ht="16.5" customHeight="1">
      <c r="A408" s="88" t="s">
        <v>352</v>
      </c>
      <c r="B408" s="88" t="s">
        <v>19</v>
      </c>
      <c r="C408" s="39" t="s">
        <v>339</v>
      </c>
      <c r="D408" s="90">
        <v>0.20090000000000002</v>
      </c>
      <c r="E408" s="90"/>
      <c r="F408" s="90"/>
      <c r="G408" s="90">
        <f>ROUNDDOWN(자재단가대비표!N119,0)</f>
        <v>87805</v>
      </c>
      <c r="H408" s="90">
        <f>ROUNDDOWN(D408*G408,1)</f>
        <v>17640</v>
      </c>
      <c r="I408" s="90"/>
      <c r="J408" s="90"/>
      <c r="K408" s="90">
        <f t="shared" si="53"/>
        <v>87805</v>
      </c>
      <c r="L408" s="90">
        <f t="shared" si="53"/>
        <v>17640</v>
      </c>
      <c r="M408" s="70"/>
      <c r="O408" s="31" t="s">
        <v>580</v>
      </c>
      <c r="P408" s="31" t="s">
        <v>452</v>
      </c>
      <c r="Q408" s="27">
        <v>1</v>
      </c>
    </row>
    <row r="409" spans="1:17" ht="16.5" customHeight="1">
      <c r="A409" s="88" t="s">
        <v>538</v>
      </c>
      <c r="B409" s="34" t="str">
        <f>"노무비의 "&amp;N409*100&amp;"%"</f>
        <v>노무비의 3%</v>
      </c>
      <c r="C409" s="39" t="s">
        <v>459</v>
      </c>
      <c r="D409" s="94" t="s">
        <v>460</v>
      </c>
      <c r="E409" s="90">
        <f>SUMIF($O$405:O409, "04", $H$405:H409)</f>
        <v>38508.199999999997</v>
      </c>
      <c r="F409" s="90">
        <f>ROUNDDOWN(E409*N409,1)</f>
        <v>1155.2</v>
      </c>
      <c r="G409" s="90"/>
      <c r="H409" s="90"/>
      <c r="I409" s="90"/>
      <c r="J409" s="90"/>
      <c r="K409" s="90">
        <f t="shared" si="53"/>
        <v>38508.199999999997</v>
      </c>
      <c r="L409" s="90">
        <f t="shared" si="53"/>
        <v>1155.2</v>
      </c>
      <c r="M409" s="71" t="s">
        <v>539</v>
      </c>
      <c r="N409" s="32">
        <v>0.03</v>
      </c>
      <c r="P409" s="31" t="s">
        <v>452</v>
      </c>
      <c r="Q409" s="27">
        <v>1</v>
      </c>
    </row>
    <row r="410" spans="1:17" ht="16.5" customHeight="1">
      <c r="A410" s="116" t="s">
        <v>419</v>
      </c>
      <c r="B410" s="65"/>
      <c r="C410" s="66"/>
      <c r="D410" s="67"/>
      <c r="E410" s="67"/>
      <c r="F410" s="123">
        <f>ROUNDDOWN(SUMIF($Q$406:$Q$409, 1,$F$406:$F$409),0)</f>
        <v>1155</v>
      </c>
      <c r="G410" s="67"/>
      <c r="H410" s="123">
        <f>ROUNDDOWN(SUMIF($Q$406:$Q$409, 1,$H$406:$H$409),0)</f>
        <v>38508</v>
      </c>
      <c r="I410" s="67"/>
      <c r="J410" s="123">
        <f>ROUNDDOWN(SUMIF($Q$406:$Q$409, 1,$J$406:$J$409),0)</f>
        <v>763</v>
      </c>
      <c r="K410" s="67"/>
      <c r="L410" s="123">
        <f>F410+H410+J410</f>
        <v>40426</v>
      </c>
      <c r="M410" s="69"/>
    </row>
    <row r="411" spans="1:17" ht="16.5" customHeight="1">
      <c r="A411" s="34"/>
      <c r="B411" s="34"/>
      <c r="C411" s="35"/>
      <c r="D411" s="38"/>
      <c r="E411" s="38"/>
      <c r="F411" s="38"/>
      <c r="G411" s="38"/>
      <c r="H411" s="38"/>
      <c r="I411" s="38"/>
      <c r="J411" s="38"/>
      <c r="K411" s="38"/>
      <c r="L411" s="38"/>
      <c r="M411" s="70"/>
    </row>
    <row r="412" spans="1:17" ht="16.5" customHeight="1">
      <c r="A412" s="34"/>
      <c r="B412" s="34"/>
      <c r="C412" s="35"/>
      <c r="D412" s="38"/>
      <c r="E412" s="38"/>
      <c r="F412" s="38"/>
      <c r="G412" s="38"/>
      <c r="H412" s="38"/>
      <c r="I412" s="38"/>
      <c r="J412" s="38"/>
      <c r="K412" s="38"/>
      <c r="L412" s="38"/>
      <c r="M412" s="70"/>
    </row>
    <row r="413" spans="1:17" ht="16.5" customHeight="1">
      <c r="A413" s="34"/>
      <c r="B413" s="34"/>
      <c r="C413" s="35"/>
      <c r="D413" s="38"/>
      <c r="E413" s="38"/>
      <c r="F413" s="38"/>
      <c r="G413" s="38"/>
      <c r="H413" s="38"/>
      <c r="I413" s="38"/>
      <c r="J413" s="38"/>
      <c r="K413" s="38"/>
      <c r="L413" s="38"/>
      <c r="M413" s="70"/>
    </row>
    <row r="414" spans="1:17" ht="16.5" customHeight="1">
      <c r="A414" s="34"/>
      <c r="B414" s="34"/>
      <c r="C414" s="35"/>
      <c r="D414" s="38"/>
      <c r="E414" s="38"/>
      <c r="F414" s="38"/>
      <c r="G414" s="38"/>
      <c r="H414" s="38"/>
      <c r="I414" s="38"/>
      <c r="J414" s="38"/>
      <c r="K414" s="38"/>
      <c r="L414" s="38"/>
      <c r="M414" s="70"/>
    </row>
    <row r="415" spans="1:17" ht="16.5" customHeight="1">
      <c r="A415" s="34"/>
      <c r="B415" s="34"/>
      <c r="C415" s="35"/>
      <c r="D415" s="38"/>
      <c r="E415" s="38"/>
      <c r="F415" s="38"/>
      <c r="G415" s="38"/>
      <c r="H415" s="38"/>
      <c r="I415" s="38"/>
      <c r="J415" s="38"/>
      <c r="K415" s="38"/>
      <c r="L415" s="38"/>
      <c r="M415" s="70"/>
    </row>
    <row r="416" spans="1:17" ht="16.5" customHeight="1">
      <c r="A416" s="34"/>
      <c r="B416" s="34"/>
      <c r="C416" s="35"/>
      <c r="D416" s="38"/>
      <c r="E416" s="38"/>
      <c r="F416" s="38"/>
      <c r="G416" s="38"/>
      <c r="H416" s="38"/>
      <c r="I416" s="38"/>
      <c r="J416" s="38"/>
      <c r="K416" s="38"/>
      <c r="L416" s="38"/>
      <c r="M416" s="70"/>
    </row>
    <row r="417" spans="1:13" ht="16.5" customHeight="1">
      <c r="A417" s="34"/>
      <c r="B417" s="34"/>
      <c r="C417" s="35"/>
      <c r="D417" s="38"/>
      <c r="E417" s="38"/>
      <c r="F417" s="38"/>
      <c r="G417" s="38"/>
      <c r="H417" s="38"/>
      <c r="I417" s="38"/>
      <c r="J417" s="38"/>
      <c r="K417" s="38"/>
      <c r="L417" s="38"/>
      <c r="M417" s="70"/>
    </row>
    <row r="418" spans="1:13" ht="16.5" customHeight="1">
      <c r="A418" s="34"/>
      <c r="B418" s="34"/>
      <c r="C418" s="35"/>
      <c r="D418" s="38"/>
      <c r="E418" s="38"/>
      <c r="F418" s="38"/>
      <c r="G418" s="38"/>
      <c r="H418" s="38"/>
      <c r="I418" s="38"/>
      <c r="J418" s="38"/>
      <c r="K418" s="38"/>
      <c r="L418" s="38"/>
      <c r="M418" s="70"/>
    </row>
    <row r="419" spans="1:13" ht="16.5" customHeight="1">
      <c r="A419" s="34"/>
      <c r="B419" s="34"/>
      <c r="C419" s="35"/>
      <c r="D419" s="38"/>
      <c r="E419" s="38"/>
      <c r="F419" s="38"/>
      <c r="G419" s="38"/>
      <c r="H419" s="38"/>
      <c r="I419" s="38"/>
      <c r="J419" s="38"/>
      <c r="K419" s="38"/>
      <c r="L419" s="38"/>
      <c r="M419" s="70"/>
    </row>
    <row r="420" spans="1:13" ht="16.5" customHeight="1">
      <c r="A420" s="34"/>
      <c r="B420" s="34"/>
      <c r="C420" s="35"/>
      <c r="D420" s="38"/>
      <c r="E420" s="38"/>
      <c r="F420" s="38"/>
      <c r="G420" s="38"/>
      <c r="H420" s="38"/>
      <c r="I420" s="38"/>
      <c r="J420" s="38"/>
      <c r="K420" s="38"/>
      <c r="L420" s="38"/>
      <c r="M420" s="70"/>
    </row>
    <row r="421" spans="1:13" ht="16.5" customHeight="1">
      <c r="A421" s="34"/>
      <c r="B421" s="34"/>
      <c r="C421" s="35"/>
      <c r="D421" s="38"/>
      <c r="E421" s="38"/>
      <c r="F421" s="38"/>
      <c r="G421" s="38"/>
      <c r="H421" s="38"/>
      <c r="I421" s="38"/>
      <c r="J421" s="38"/>
      <c r="K421" s="38"/>
      <c r="L421" s="38"/>
      <c r="M421" s="70"/>
    </row>
    <row r="422" spans="1:13" ht="16.5" customHeight="1">
      <c r="A422" s="34"/>
      <c r="B422" s="34"/>
      <c r="C422" s="35"/>
      <c r="D422" s="38"/>
      <c r="E422" s="38"/>
      <c r="F422" s="38"/>
      <c r="G422" s="38"/>
      <c r="H422" s="38"/>
      <c r="I422" s="38"/>
      <c r="J422" s="38"/>
      <c r="K422" s="38"/>
      <c r="L422" s="38"/>
      <c r="M422" s="70"/>
    </row>
    <row r="423" spans="1:13" ht="16.5" customHeight="1">
      <c r="A423" s="34"/>
      <c r="B423" s="34"/>
      <c r="C423" s="35"/>
      <c r="D423" s="38"/>
      <c r="E423" s="38"/>
      <c r="F423" s="38"/>
      <c r="G423" s="38"/>
      <c r="H423" s="38"/>
      <c r="I423" s="38"/>
      <c r="J423" s="38"/>
      <c r="K423" s="38"/>
      <c r="L423" s="38"/>
      <c r="M423" s="70"/>
    </row>
    <row r="424" spans="1:13" ht="16.5" customHeight="1">
      <c r="A424" s="34"/>
      <c r="B424" s="34"/>
      <c r="C424" s="35"/>
      <c r="D424" s="38"/>
      <c r="E424" s="38"/>
      <c r="F424" s="38"/>
      <c r="G424" s="38"/>
      <c r="H424" s="38"/>
      <c r="I424" s="38"/>
      <c r="J424" s="38"/>
      <c r="K424" s="38"/>
      <c r="L424" s="38"/>
      <c r="M424" s="70"/>
    </row>
    <row r="425" spans="1:13" ht="16.5" customHeight="1">
      <c r="A425" s="34"/>
      <c r="B425" s="34"/>
      <c r="C425" s="35"/>
      <c r="D425" s="38"/>
      <c r="E425" s="38"/>
      <c r="F425" s="38"/>
      <c r="G425" s="38"/>
      <c r="H425" s="38"/>
      <c r="I425" s="38"/>
      <c r="J425" s="38"/>
      <c r="K425" s="38"/>
      <c r="L425" s="38"/>
      <c r="M425" s="70"/>
    </row>
    <row r="426" spans="1:13" ht="16.5" customHeight="1">
      <c r="A426" s="34"/>
      <c r="B426" s="34"/>
      <c r="C426" s="35"/>
      <c r="D426" s="38"/>
      <c r="E426" s="38"/>
      <c r="F426" s="38"/>
      <c r="G426" s="38"/>
      <c r="H426" s="38"/>
      <c r="I426" s="38"/>
      <c r="J426" s="38"/>
      <c r="K426" s="38"/>
      <c r="L426" s="38"/>
      <c r="M426" s="70"/>
    </row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3" type="noConversion"/>
  <pageMargins left="0.74803149606299213" right="0.19685039370078738" top="0.74803149606299213" bottom="0.55118110236220463" header="0.51181102362204722" footer="0.31496062992125989"/>
  <pageSetup paperSize="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19D86"/>
  </sheetPr>
  <dimension ref="A1:R24"/>
  <sheetViews>
    <sheetView view="pageBreakPreview" zoomScale="115" zoomScaleSheetLayoutView="115" workbookViewId="0">
      <selection activeCell="B8" sqref="B8"/>
    </sheetView>
  </sheetViews>
  <sheetFormatPr defaultRowHeight="10.5"/>
  <cols>
    <col min="1" max="1" width="5.625" style="28" customWidth="1"/>
    <col min="2" max="2" width="18.625" style="27" customWidth="1"/>
    <col min="3" max="3" width="15.625" style="27" customWidth="1"/>
    <col min="4" max="4" width="4.625" style="28" customWidth="1"/>
    <col min="5" max="5" width="6.625" style="28" customWidth="1"/>
    <col min="6" max="6" width="7.625" style="29" customWidth="1"/>
    <col min="7" max="7" width="8.625" style="29" customWidth="1"/>
    <col min="8" max="8" width="7.625" style="29" customWidth="1"/>
    <col min="9" max="9" width="8.625" style="29" customWidth="1"/>
    <col min="10" max="10" width="7.625" style="29" customWidth="1"/>
    <col min="11" max="11" width="8.625" style="29" customWidth="1"/>
    <col min="12" max="12" width="7.625" style="29" customWidth="1"/>
    <col min="13" max="13" width="8.625" style="29" customWidth="1"/>
    <col min="14" max="14" width="6.625" style="30" customWidth="1"/>
    <col min="15" max="18" width="0" style="27" hidden="1" customWidth="1"/>
    <col min="19" max="16384" width="9" style="27"/>
  </cols>
  <sheetData>
    <row r="1" spans="1:18" ht="26.1" customHeight="1">
      <c r="A1" s="142" t="s">
        <v>464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</row>
    <row r="2" spans="1:18" ht="16.5" customHeight="1">
      <c r="A2" s="157" t="s">
        <v>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</row>
    <row r="3" spans="1:18" ht="16.5" customHeight="1">
      <c r="A3" s="156" t="s">
        <v>465</v>
      </c>
      <c r="B3" s="156" t="s">
        <v>2</v>
      </c>
      <c r="C3" s="156" t="s">
        <v>3</v>
      </c>
      <c r="D3" s="156" t="s">
        <v>4</v>
      </c>
      <c r="E3" s="156" t="s">
        <v>466</v>
      </c>
      <c r="F3" s="156" t="s">
        <v>467</v>
      </c>
      <c r="G3" s="156"/>
      <c r="H3" s="156" t="s">
        <v>468</v>
      </c>
      <c r="I3" s="156"/>
      <c r="J3" s="156" t="s">
        <v>469</v>
      </c>
      <c r="K3" s="156"/>
      <c r="L3" s="156" t="s">
        <v>470</v>
      </c>
      <c r="M3" s="156"/>
      <c r="N3" s="156" t="s">
        <v>440</v>
      </c>
    </row>
    <row r="4" spans="1:18" ht="16.5" customHeight="1">
      <c r="A4" s="156"/>
      <c r="B4" s="156"/>
      <c r="C4" s="156"/>
      <c r="D4" s="156"/>
      <c r="E4" s="156"/>
      <c r="F4" s="87" t="s">
        <v>441</v>
      </c>
      <c r="G4" s="87" t="s">
        <v>442</v>
      </c>
      <c r="H4" s="87" t="s">
        <v>441</v>
      </c>
      <c r="I4" s="87" t="s">
        <v>442</v>
      </c>
      <c r="J4" s="87" t="s">
        <v>441</v>
      </c>
      <c r="K4" s="87" t="s">
        <v>442</v>
      </c>
      <c r="L4" s="87" t="s">
        <v>441</v>
      </c>
      <c r="M4" s="87" t="s">
        <v>442</v>
      </c>
      <c r="N4" s="156"/>
      <c r="O4" s="27" t="s">
        <v>443</v>
      </c>
      <c r="P4" s="27" t="s">
        <v>444</v>
      </c>
      <c r="Q4" s="27" t="s">
        <v>445</v>
      </c>
      <c r="R4" s="27" t="s">
        <v>446</v>
      </c>
    </row>
    <row r="5" spans="1:18" ht="16.5" customHeight="1">
      <c r="A5" s="39" t="s">
        <v>471</v>
      </c>
      <c r="B5" s="88" t="s">
        <v>369</v>
      </c>
      <c r="C5" s="88" t="s">
        <v>370</v>
      </c>
      <c r="D5" s="39" t="s">
        <v>448</v>
      </c>
      <c r="E5" s="35">
        <v>1</v>
      </c>
      <c r="F5" s="91">
        <f>중기경비!F9</f>
        <v>0</v>
      </c>
      <c r="G5" s="91">
        <f>E5*F5</f>
        <v>0</v>
      </c>
      <c r="H5" s="91">
        <f>중기경비!H9</f>
        <v>0</v>
      </c>
      <c r="I5" s="91">
        <f>E5*H5</f>
        <v>0</v>
      </c>
      <c r="J5" s="91">
        <f>중기경비!J9</f>
        <v>124</v>
      </c>
      <c r="K5" s="91">
        <f>E5*J5</f>
        <v>124</v>
      </c>
      <c r="L5" s="91">
        <f t="shared" ref="L5:M8" si="0">F5+H5+J5</f>
        <v>124</v>
      </c>
      <c r="M5" s="91">
        <f t="shared" si="0"/>
        <v>124</v>
      </c>
      <c r="N5" s="71" t="s">
        <v>449</v>
      </c>
    </row>
    <row r="6" spans="1:18" ht="16.5" customHeight="1">
      <c r="A6" s="39" t="s">
        <v>472</v>
      </c>
      <c r="B6" s="88" t="s">
        <v>374</v>
      </c>
      <c r="C6" s="88" t="s">
        <v>454</v>
      </c>
      <c r="D6" s="39" t="s">
        <v>448</v>
      </c>
      <c r="E6" s="35">
        <v>1</v>
      </c>
      <c r="F6" s="91">
        <f>중기경비!F14</f>
        <v>0</v>
      </c>
      <c r="G6" s="91">
        <f>E6*F6</f>
        <v>0</v>
      </c>
      <c r="H6" s="91">
        <f>중기경비!H14</f>
        <v>0</v>
      </c>
      <c r="I6" s="91">
        <f>E6*H6</f>
        <v>0</v>
      </c>
      <c r="J6" s="91">
        <f>중기경비!J14</f>
        <v>523</v>
      </c>
      <c r="K6" s="91">
        <f>E6*J6</f>
        <v>523</v>
      </c>
      <c r="L6" s="91">
        <f t="shared" si="0"/>
        <v>523</v>
      </c>
      <c r="M6" s="91">
        <f t="shared" si="0"/>
        <v>523</v>
      </c>
      <c r="N6" s="71" t="s">
        <v>449</v>
      </c>
    </row>
    <row r="7" spans="1:18" ht="16.5" customHeight="1">
      <c r="A7" s="39" t="s">
        <v>899</v>
      </c>
      <c r="B7" s="88" t="s">
        <v>364</v>
      </c>
      <c r="C7" s="88" t="s">
        <v>455</v>
      </c>
      <c r="D7" s="39" t="s">
        <v>448</v>
      </c>
      <c r="E7" s="35">
        <v>1</v>
      </c>
      <c r="F7" s="91">
        <f>중기경비!F26</f>
        <v>17307</v>
      </c>
      <c r="G7" s="91">
        <f>E7*F7</f>
        <v>17307</v>
      </c>
      <c r="H7" s="91">
        <f>중기경비!H26</f>
        <v>18031</v>
      </c>
      <c r="I7" s="91">
        <f>E7*H7</f>
        <v>18031</v>
      </c>
      <c r="J7" s="91">
        <f>중기경비!J26</f>
        <v>19708</v>
      </c>
      <c r="K7" s="91">
        <f>E7*J7</f>
        <v>19708</v>
      </c>
      <c r="L7" s="91">
        <f t="shared" si="0"/>
        <v>55046</v>
      </c>
      <c r="M7" s="91">
        <f t="shared" si="0"/>
        <v>55046</v>
      </c>
      <c r="N7" s="71" t="s">
        <v>449</v>
      </c>
    </row>
    <row r="8" spans="1:18" ht="16.5" customHeight="1">
      <c r="A8" s="39" t="s">
        <v>900</v>
      </c>
      <c r="B8" s="88" t="s">
        <v>367</v>
      </c>
      <c r="C8" s="88" t="s">
        <v>463</v>
      </c>
      <c r="D8" s="39" t="s">
        <v>448</v>
      </c>
      <c r="E8" s="35">
        <v>1</v>
      </c>
      <c r="F8" s="91">
        <f>중기경비!F38</f>
        <v>26835</v>
      </c>
      <c r="G8" s="91">
        <f>E8*F8</f>
        <v>26835</v>
      </c>
      <c r="H8" s="91">
        <f>중기경비!H38</f>
        <v>18031</v>
      </c>
      <c r="I8" s="91">
        <f>E8*H8</f>
        <v>18031</v>
      </c>
      <c r="J8" s="91">
        <f>중기경비!J38</f>
        <v>17283</v>
      </c>
      <c r="K8" s="91">
        <f>E8*J8</f>
        <v>17283</v>
      </c>
      <c r="L8" s="91">
        <f t="shared" si="0"/>
        <v>62149</v>
      </c>
      <c r="M8" s="91">
        <f t="shared" si="0"/>
        <v>62149</v>
      </c>
      <c r="N8" s="71" t="s">
        <v>449</v>
      </c>
    </row>
    <row r="9" spans="1:18" ht="16.5" customHeight="1">
      <c r="A9" s="35"/>
      <c r="B9" s="34"/>
      <c r="C9" s="34"/>
      <c r="D9" s="35"/>
      <c r="E9" s="35"/>
      <c r="F9" s="38"/>
      <c r="G9" s="91"/>
      <c r="H9" s="38"/>
      <c r="I9" s="91"/>
      <c r="J9" s="38"/>
      <c r="K9" s="91"/>
      <c r="L9" s="38"/>
      <c r="M9" s="91"/>
      <c r="N9" s="70"/>
    </row>
    <row r="10" spans="1:18" ht="16.5" customHeight="1">
      <c r="A10" s="35"/>
      <c r="B10" s="34"/>
      <c r="C10" s="34"/>
      <c r="D10" s="35"/>
      <c r="E10" s="35"/>
      <c r="F10" s="38"/>
      <c r="G10" s="91"/>
      <c r="H10" s="38"/>
      <c r="I10" s="91"/>
      <c r="J10" s="38"/>
      <c r="K10" s="91"/>
      <c r="L10" s="38"/>
      <c r="M10" s="91"/>
      <c r="N10" s="70"/>
    </row>
    <row r="11" spans="1:18" ht="16.5" customHeight="1">
      <c r="A11" s="35"/>
      <c r="B11" s="34"/>
      <c r="C11" s="34"/>
      <c r="D11" s="35"/>
      <c r="E11" s="35"/>
      <c r="F11" s="38"/>
      <c r="G11" s="91"/>
      <c r="H11" s="38"/>
      <c r="I11" s="91"/>
      <c r="J11" s="38"/>
      <c r="K11" s="91"/>
      <c r="L11" s="38"/>
      <c r="M11" s="91"/>
      <c r="N11" s="70"/>
    </row>
    <row r="12" spans="1:18" ht="16.5" customHeight="1">
      <c r="A12" s="35"/>
      <c r="B12" s="34"/>
      <c r="C12" s="34"/>
      <c r="D12" s="35"/>
      <c r="E12" s="35"/>
      <c r="F12" s="38"/>
      <c r="G12" s="91"/>
      <c r="H12" s="38"/>
      <c r="I12" s="91"/>
      <c r="J12" s="38"/>
      <c r="K12" s="91"/>
      <c r="L12" s="38"/>
      <c r="M12" s="91"/>
      <c r="N12" s="70"/>
    </row>
    <row r="13" spans="1:18" ht="16.5" customHeight="1">
      <c r="A13" s="35"/>
      <c r="B13" s="34"/>
      <c r="C13" s="34"/>
      <c r="D13" s="35"/>
      <c r="E13" s="35"/>
      <c r="F13" s="38"/>
      <c r="G13" s="91"/>
      <c r="H13" s="38"/>
      <c r="I13" s="91"/>
      <c r="J13" s="38"/>
      <c r="K13" s="91"/>
      <c r="L13" s="38"/>
      <c r="M13" s="91"/>
      <c r="N13" s="70"/>
    </row>
    <row r="14" spans="1:18" ht="16.5" customHeight="1">
      <c r="A14" s="35"/>
      <c r="B14" s="34"/>
      <c r="C14" s="34"/>
      <c r="D14" s="35"/>
      <c r="E14" s="35"/>
      <c r="F14" s="38"/>
      <c r="G14" s="91"/>
      <c r="H14" s="38"/>
      <c r="I14" s="91"/>
      <c r="J14" s="38"/>
      <c r="K14" s="91"/>
      <c r="L14" s="38"/>
      <c r="M14" s="91"/>
      <c r="N14" s="70"/>
    </row>
    <row r="15" spans="1:18" ht="16.5" customHeight="1">
      <c r="A15" s="35"/>
      <c r="B15" s="34"/>
      <c r="C15" s="34"/>
      <c r="D15" s="35"/>
      <c r="E15" s="35"/>
      <c r="F15" s="38"/>
      <c r="G15" s="91"/>
      <c r="H15" s="38"/>
      <c r="I15" s="91"/>
      <c r="J15" s="38"/>
      <c r="K15" s="91"/>
      <c r="L15" s="38"/>
      <c r="M15" s="91"/>
      <c r="N15" s="70"/>
    </row>
    <row r="16" spans="1:18" ht="16.5" customHeight="1">
      <c r="A16" s="35"/>
      <c r="B16" s="34"/>
      <c r="C16" s="34"/>
      <c r="D16" s="35"/>
      <c r="E16" s="35"/>
      <c r="F16" s="38"/>
      <c r="G16" s="91"/>
      <c r="H16" s="38"/>
      <c r="I16" s="91"/>
      <c r="J16" s="38"/>
      <c r="K16" s="91"/>
      <c r="L16" s="38"/>
      <c r="M16" s="91"/>
      <c r="N16" s="70"/>
    </row>
    <row r="17" spans="1:14" ht="16.5" customHeight="1">
      <c r="A17" s="35"/>
      <c r="B17" s="34"/>
      <c r="C17" s="34"/>
      <c r="D17" s="35"/>
      <c r="E17" s="35"/>
      <c r="F17" s="38"/>
      <c r="G17" s="91"/>
      <c r="H17" s="38"/>
      <c r="I17" s="91"/>
      <c r="J17" s="38"/>
      <c r="K17" s="91"/>
      <c r="L17" s="38"/>
      <c r="M17" s="91"/>
      <c r="N17" s="70"/>
    </row>
    <row r="18" spans="1:14" ht="16.5" customHeight="1">
      <c r="A18" s="35"/>
      <c r="B18" s="34"/>
      <c r="C18" s="34"/>
      <c r="D18" s="35"/>
      <c r="E18" s="35"/>
      <c r="F18" s="38"/>
      <c r="G18" s="91"/>
      <c r="H18" s="38"/>
      <c r="I18" s="91"/>
      <c r="J18" s="38"/>
      <c r="K18" s="91"/>
      <c r="L18" s="38"/>
      <c r="M18" s="91"/>
      <c r="N18" s="70"/>
    </row>
    <row r="19" spans="1:14" ht="16.5" customHeight="1">
      <c r="A19" s="35"/>
      <c r="B19" s="34"/>
      <c r="C19" s="34"/>
      <c r="D19" s="35"/>
      <c r="E19" s="35"/>
      <c r="F19" s="38"/>
      <c r="G19" s="91"/>
      <c r="H19" s="38"/>
      <c r="I19" s="91"/>
      <c r="J19" s="38"/>
      <c r="K19" s="91"/>
      <c r="L19" s="38"/>
      <c r="M19" s="91"/>
      <c r="N19" s="70"/>
    </row>
    <row r="20" spans="1:14" ht="16.5" customHeight="1">
      <c r="A20" s="35"/>
      <c r="B20" s="34"/>
      <c r="C20" s="34"/>
      <c r="D20" s="35"/>
      <c r="E20" s="35"/>
      <c r="F20" s="38"/>
      <c r="G20" s="91"/>
      <c r="H20" s="38"/>
      <c r="I20" s="91"/>
      <c r="J20" s="38"/>
      <c r="K20" s="91"/>
      <c r="L20" s="38"/>
      <c r="M20" s="91"/>
      <c r="N20" s="70"/>
    </row>
    <row r="21" spans="1:14" ht="16.5" customHeight="1">
      <c r="A21" s="35"/>
      <c r="B21" s="34"/>
      <c r="C21" s="34"/>
      <c r="D21" s="35"/>
      <c r="E21" s="35"/>
      <c r="F21" s="38"/>
      <c r="G21" s="91"/>
      <c r="H21" s="38"/>
      <c r="I21" s="91"/>
      <c r="J21" s="38"/>
      <c r="K21" s="91"/>
      <c r="L21" s="38"/>
      <c r="M21" s="91"/>
      <c r="N21" s="70"/>
    </row>
    <row r="22" spans="1:14" ht="16.5" customHeight="1">
      <c r="A22" s="35"/>
      <c r="B22" s="34"/>
      <c r="C22" s="34"/>
      <c r="D22" s="35"/>
      <c r="E22" s="35"/>
      <c r="F22" s="38"/>
      <c r="G22" s="91"/>
      <c r="H22" s="38"/>
      <c r="I22" s="91"/>
      <c r="J22" s="38"/>
      <c r="K22" s="91"/>
      <c r="L22" s="38"/>
      <c r="M22" s="91"/>
      <c r="N22" s="70"/>
    </row>
    <row r="23" spans="1:14" ht="16.5" customHeight="1">
      <c r="A23" s="35"/>
      <c r="B23" s="34"/>
      <c r="C23" s="34"/>
      <c r="D23" s="35"/>
      <c r="E23" s="35"/>
      <c r="F23" s="38"/>
      <c r="G23" s="91"/>
      <c r="H23" s="38"/>
      <c r="I23" s="91"/>
      <c r="J23" s="38"/>
      <c r="K23" s="91"/>
      <c r="L23" s="38"/>
      <c r="M23" s="91"/>
      <c r="N23" s="70"/>
    </row>
    <row r="24" spans="1:14" ht="16.5" customHeight="1">
      <c r="A24" s="35"/>
      <c r="B24" s="34"/>
      <c r="C24" s="34"/>
      <c r="D24" s="35"/>
      <c r="E24" s="35"/>
      <c r="F24" s="38"/>
      <c r="G24" s="91"/>
      <c r="H24" s="38"/>
      <c r="I24" s="91"/>
      <c r="J24" s="38"/>
      <c r="K24" s="91"/>
      <c r="L24" s="38"/>
      <c r="M24" s="91"/>
      <c r="N24" s="70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3" type="noConversion"/>
  <pageMargins left="0.74803149606299213" right="0.19685039370078738" top="0.74803149606299213" bottom="0.55118110236220463" header="0.51181102362204722" footer="0.31496062992125989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B7"/>
  </sheetPr>
  <dimension ref="A1:Q44"/>
  <sheetViews>
    <sheetView view="pageBreakPreview" zoomScale="115" zoomScaleSheetLayoutView="115" workbookViewId="0">
      <selection activeCell="B8" sqref="B8"/>
    </sheetView>
  </sheetViews>
  <sheetFormatPr defaultRowHeight="10.5"/>
  <cols>
    <col min="1" max="1" width="21.625" style="27" customWidth="1"/>
    <col min="2" max="2" width="18.625" style="27" customWidth="1"/>
    <col min="3" max="3" width="4.625" style="28" customWidth="1"/>
    <col min="4" max="4" width="6.625" style="29" customWidth="1"/>
    <col min="5" max="5" width="7.625" style="29" customWidth="1"/>
    <col min="6" max="6" width="8.625" style="29" customWidth="1"/>
    <col min="7" max="7" width="7.625" style="29" customWidth="1"/>
    <col min="8" max="8" width="8.625" style="29" customWidth="1"/>
    <col min="9" max="9" width="7.625" style="29" customWidth="1"/>
    <col min="10" max="10" width="8.625" style="29" customWidth="1"/>
    <col min="11" max="11" width="7.625" style="29" customWidth="1"/>
    <col min="12" max="12" width="8.625" style="29" customWidth="1"/>
    <col min="13" max="13" width="6.625" style="30" customWidth="1"/>
    <col min="14" max="17" width="0" style="27" hidden="1" customWidth="1"/>
    <col min="18" max="16384" width="9" style="27"/>
  </cols>
  <sheetData>
    <row r="1" spans="1:17" ht="26.1" customHeight="1">
      <c r="A1" s="142" t="s">
        <v>432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</row>
    <row r="2" spans="1:17" ht="16.5" customHeight="1">
      <c r="A2" s="157" t="s">
        <v>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</row>
    <row r="3" spans="1:17" ht="16.5" customHeight="1">
      <c r="A3" s="156" t="s">
        <v>433</v>
      </c>
      <c r="B3" s="156" t="s">
        <v>434</v>
      </c>
      <c r="C3" s="156" t="s">
        <v>4</v>
      </c>
      <c r="D3" s="156" t="s">
        <v>435</v>
      </c>
      <c r="E3" s="156" t="s">
        <v>436</v>
      </c>
      <c r="F3" s="156"/>
      <c r="G3" s="156" t="s">
        <v>437</v>
      </c>
      <c r="H3" s="156"/>
      <c r="I3" s="156" t="s">
        <v>438</v>
      </c>
      <c r="J3" s="156"/>
      <c r="K3" s="156" t="s">
        <v>439</v>
      </c>
      <c r="L3" s="156"/>
      <c r="M3" s="156" t="s">
        <v>440</v>
      </c>
    </row>
    <row r="4" spans="1:17" ht="16.5" customHeight="1">
      <c r="A4" s="156"/>
      <c r="B4" s="156"/>
      <c r="C4" s="156"/>
      <c r="D4" s="156"/>
      <c r="E4" s="87" t="s">
        <v>441</v>
      </c>
      <c r="F4" s="87" t="s">
        <v>442</v>
      </c>
      <c r="G4" s="87" t="s">
        <v>441</v>
      </c>
      <c r="H4" s="87" t="s">
        <v>442</v>
      </c>
      <c r="I4" s="87" t="s">
        <v>441</v>
      </c>
      <c r="J4" s="87" t="s">
        <v>442</v>
      </c>
      <c r="K4" s="87" t="s">
        <v>441</v>
      </c>
      <c r="L4" s="87" t="s">
        <v>442</v>
      </c>
      <c r="M4" s="156"/>
      <c r="N4" s="27" t="s">
        <v>443</v>
      </c>
      <c r="O4" s="27" t="s">
        <v>444</v>
      </c>
      <c r="P4" s="27" t="s">
        <v>445</v>
      </c>
      <c r="Q4" s="27" t="s">
        <v>446</v>
      </c>
    </row>
    <row r="5" spans="1:17" ht="16.5" customHeight="1">
      <c r="A5" s="88" t="s">
        <v>447</v>
      </c>
      <c r="B5" s="88" t="s">
        <v>370</v>
      </c>
      <c r="C5" s="39" t="s">
        <v>448</v>
      </c>
      <c r="D5" s="89"/>
      <c r="E5" s="90"/>
      <c r="F5" s="90"/>
      <c r="G5" s="90"/>
      <c r="H5" s="90"/>
      <c r="I5" s="90"/>
      <c r="J5" s="90"/>
      <c r="K5" s="90"/>
      <c r="L5" s="90"/>
      <c r="M5" s="71" t="s">
        <v>449</v>
      </c>
    </row>
    <row r="6" spans="1:17" ht="16.5" customHeight="1">
      <c r="A6" s="88" t="s">
        <v>450</v>
      </c>
      <c r="B6" s="88" t="s">
        <v>19</v>
      </c>
      <c r="C6" s="39" t="s">
        <v>19</v>
      </c>
      <c r="D6" s="89"/>
      <c r="E6" s="90"/>
      <c r="F6" s="90"/>
      <c r="G6" s="90"/>
      <c r="H6" s="90"/>
      <c r="I6" s="90"/>
      <c r="J6" s="90"/>
      <c r="K6" s="90">
        <f>E6+G6+I6</f>
        <v>0</v>
      </c>
      <c r="L6" s="90">
        <f>F6+H6+J6</f>
        <v>0</v>
      </c>
      <c r="M6" s="70"/>
    </row>
    <row r="7" spans="1:17" ht="16.5" customHeight="1">
      <c r="A7" s="88" t="s">
        <v>369</v>
      </c>
      <c r="B7" s="88" t="s">
        <v>370</v>
      </c>
      <c r="C7" s="39" t="s">
        <v>149</v>
      </c>
      <c r="D7" s="89">
        <v>2.2939999999999999E-4</v>
      </c>
      <c r="E7" s="90"/>
      <c r="F7" s="90"/>
      <c r="G7" s="90"/>
      <c r="H7" s="90"/>
      <c r="I7" s="90">
        <f>ROUNDDOWN(자재단가대비표!N132,0)</f>
        <v>544000</v>
      </c>
      <c r="J7" s="90">
        <f>ROUNDDOWN(D7*I7,1)</f>
        <v>124.7</v>
      </c>
      <c r="K7" s="90">
        <f>E7+G7+I7</f>
        <v>544000</v>
      </c>
      <c r="L7" s="90">
        <f>F7+H7+J7</f>
        <v>124.7</v>
      </c>
      <c r="M7" s="71" t="s">
        <v>366</v>
      </c>
      <c r="O7" s="31" t="s">
        <v>451</v>
      </c>
      <c r="P7" s="31" t="s">
        <v>452</v>
      </c>
      <c r="Q7" s="27">
        <v>1</v>
      </c>
    </row>
    <row r="8" spans="1:17" ht="16.5" customHeight="1">
      <c r="A8" s="88" t="s">
        <v>453</v>
      </c>
      <c r="B8" s="88" t="s">
        <v>19</v>
      </c>
      <c r="C8" s="39" t="s">
        <v>19</v>
      </c>
      <c r="D8" s="89"/>
      <c r="E8" s="90"/>
      <c r="F8" s="90"/>
      <c r="G8" s="90"/>
      <c r="H8" s="90"/>
      <c r="I8" s="90"/>
      <c r="J8" s="90">
        <f>SUMIF($Q$6:$Q$7, 1,$J$6:$J$7)</f>
        <v>124.7</v>
      </c>
      <c r="K8" s="90"/>
      <c r="L8" s="90">
        <f>F8+H8+J8</f>
        <v>124.7</v>
      </c>
      <c r="M8" s="70"/>
    </row>
    <row r="9" spans="1:17" ht="16.5" customHeight="1">
      <c r="A9" s="116" t="s">
        <v>419</v>
      </c>
      <c r="B9" s="65"/>
      <c r="C9" s="66"/>
      <c r="D9" s="67"/>
      <c r="E9" s="67"/>
      <c r="F9" s="123">
        <f>ROUNDDOWN(SUMIF($Q$6:$Q$8, 1,$F$6:$F$8),0)</f>
        <v>0</v>
      </c>
      <c r="G9" s="67"/>
      <c r="H9" s="123">
        <f>ROUNDDOWN(SUMIF($Q$6:$Q$8, 1,$H$6:$H$8),0)</f>
        <v>0</v>
      </c>
      <c r="I9" s="67"/>
      <c r="J9" s="123">
        <f>ROUNDDOWN(SUMIF($Q$6:$Q$8, 1,$J$6:$J$8),0)</f>
        <v>124</v>
      </c>
      <c r="K9" s="67"/>
      <c r="L9" s="123">
        <f>F9+H9+J9</f>
        <v>124</v>
      </c>
      <c r="M9" s="69"/>
    </row>
    <row r="10" spans="1:17" ht="16.5" customHeight="1">
      <c r="A10" s="88" t="s">
        <v>896</v>
      </c>
      <c r="B10" s="88" t="s">
        <v>454</v>
      </c>
      <c r="C10" s="39" t="s">
        <v>448</v>
      </c>
      <c r="D10" s="89"/>
      <c r="E10" s="90"/>
      <c r="F10" s="90"/>
      <c r="G10" s="90"/>
      <c r="H10" s="90"/>
      <c r="I10" s="90"/>
      <c r="J10" s="90"/>
      <c r="K10" s="90"/>
      <c r="L10" s="90"/>
      <c r="M10" s="71" t="s">
        <v>449</v>
      </c>
    </row>
    <row r="11" spans="1:17" ht="16.5" customHeight="1">
      <c r="A11" s="88" t="s">
        <v>450</v>
      </c>
      <c r="B11" s="88" t="s">
        <v>19</v>
      </c>
      <c r="C11" s="39" t="s">
        <v>19</v>
      </c>
      <c r="D11" s="89"/>
      <c r="E11" s="90"/>
      <c r="F11" s="90"/>
      <c r="G11" s="90"/>
      <c r="H11" s="90"/>
      <c r="I11" s="90"/>
      <c r="J11" s="90"/>
      <c r="K11" s="90">
        <f>E11+G11+I11</f>
        <v>0</v>
      </c>
      <c r="L11" s="90">
        <f>F11+H11+J11</f>
        <v>0</v>
      </c>
      <c r="M11" s="70"/>
    </row>
    <row r="12" spans="1:17" ht="16.5" customHeight="1">
      <c r="A12" s="88" t="s">
        <v>374</v>
      </c>
      <c r="B12" s="88" t="s">
        <v>375</v>
      </c>
      <c r="C12" s="39" t="s">
        <v>149</v>
      </c>
      <c r="D12" s="89">
        <v>5.1999999999999995E-4</v>
      </c>
      <c r="E12" s="90"/>
      <c r="F12" s="90"/>
      <c r="G12" s="90"/>
      <c r="H12" s="90"/>
      <c r="I12" s="90">
        <f>ROUNDDOWN(자재단가대비표!N134,0)</f>
        <v>1007000</v>
      </c>
      <c r="J12" s="90">
        <f>ROUNDDOWN(D12*I12,1)</f>
        <v>523.6</v>
      </c>
      <c r="K12" s="90">
        <f>E12+G12+I12</f>
        <v>1007000</v>
      </c>
      <c r="L12" s="90">
        <f>F12+H12+J12</f>
        <v>523.6</v>
      </c>
      <c r="M12" s="71" t="s">
        <v>366</v>
      </c>
      <c r="O12" s="31" t="s">
        <v>451</v>
      </c>
      <c r="P12" s="31" t="s">
        <v>452</v>
      </c>
      <c r="Q12" s="27">
        <v>1</v>
      </c>
    </row>
    <row r="13" spans="1:17" ht="16.5" customHeight="1">
      <c r="A13" s="88" t="s">
        <v>453</v>
      </c>
      <c r="B13" s="88" t="s">
        <v>19</v>
      </c>
      <c r="C13" s="39" t="s">
        <v>19</v>
      </c>
      <c r="D13" s="89"/>
      <c r="E13" s="90"/>
      <c r="F13" s="90"/>
      <c r="G13" s="90"/>
      <c r="H13" s="90"/>
      <c r="I13" s="90"/>
      <c r="J13" s="90">
        <f>SUMIF($Q$11:$Q$12, 1,$J$11:$J$12)</f>
        <v>523.6</v>
      </c>
      <c r="K13" s="90"/>
      <c r="L13" s="90">
        <f>F13+H13+J13</f>
        <v>523.6</v>
      </c>
      <c r="M13" s="70"/>
    </row>
    <row r="14" spans="1:17" ht="16.5" customHeight="1">
      <c r="A14" s="116" t="s">
        <v>419</v>
      </c>
      <c r="B14" s="65"/>
      <c r="C14" s="66"/>
      <c r="D14" s="67"/>
      <c r="E14" s="67"/>
      <c r="F14" s="123">
        <f>ROUNDDOWN(SUMIF($Q$11:$Q$13, 1,$F$11:$F$13),0)</f>
        <v>0</v>
      </c>
      <c r="G14" s="67"/>
      <c r="H14" s="123">
        <f>ROUNDDOWN(SUMIF($Q$11:$Q$13, 1,$H$11:$H$13),0)</f>
        <v>0</v>
      </c>
      <c r="I14" s="67"/>
      <c r="J14" s="123">
        <f>ROUNDDOWN(SUMIF($Q$11:$Q$13, 1,$J$11:$J$13),0)</f>
        <v>523</v>
      </c>
      <c r="K14" s="67"/>
      <c r="L14" s="123">
        <f>F14+H14+J14</f>
        <v>523</v>
      </c>
      <c r="M14" s="69"/>
    </row>
    <row r="15" spans="1:17" ht="16.5" customHeight="1">
      <c r="A15" s="88" t="s">
        <v>897</v>
      </c>
      <c r="B15" s="88" t="s">
        <v>455</v>
      </c>
      <c r="C15" s="39" t="s">
        <v>448</v>
      </c>
      <c r="D15" s="89"/>
      <c r="E15" s="90"/>
      <c r="F15" s="90"/>
      <c r="G15" s="90"/>
      <c r="H15" s="90"/>
      <c r="I15" s="90"/>
      <c r="J15" s="90"/>
      <c r="K15" s="90"/>
      <c r="L15" s="90"/>
      <c r="M15" s="71" t="s">
        <v>449</v>
      </c>
    </row>
    <row r="16" spans="1:17" ht="16.5" customHeight="1">
      <c r="A16" s="88" t="s">
        <v>450</v>
      </c>
      <c r="B16" s="88" t="s">
        <v>19</v>
      </c>
      <c r="C16" s="39" t="s">
        <v>19</v>
      </c>
      <c r="D16" s="89"/>
      <c r="E16" s="90"/>
      <c r="F16" s="90"/>
      <c r="G16" s="90"/>
      <c r="H16" s="90"/>
      <c r="I16" s="90"/>
      <c r="J16" s="90"/>
      <c r="K16" s="90">
        <f>E16+G16+I16</f>
        <v>0</v>
      </c>
      <c r="L16" s="90">
        <f>F16+H16+J16</f>
        <v>0</v>
      </c>
      <c r="M16" s="70"/>
    </row>
    <row r="17" spans="1:17" ht="16.5" customHeight="1">
      <c r="A17" s="88" t="s">
        <v>364</v>
      </c>
      <c r="B17" s="88" t="s">
        <v>365</v>
      </c>
      <c r="C17" s="39" t="s">
        <v>149</v>
      </c>
      <c r="D17" s="89">
        <v>2.0379999999999999E-4</v>
      </c>
      <c r="E17" s="90"/>
      <c r="F17" s="90"/>
      <c r="G17" s="90"/>
      <c r="H17" s="90"/>
      <c r="I17" s="90">
        <f>ROUNDDOWN(자재단가대비표!N130,0)</f>
        <v>96703000</v>
      </c>
      <c r="J17" s="90">
        <f>ROUNDDOWN(D17*I17,1)</f>
        <v>19708</v>
      </c>
      <c r="K17" s="90">
        <f>E17+G17+I17</f>
        <v>96703000</v>
      </c>
      <c r="L17" s="90">
        <f>F17+H17+J17</f>
        <v>19708</v>
      </c>
      <c r="M17" s="71" t="s">
        <v>366</v>
      </c>
      <c r="O17" s="31" t="s">
        <v>451</v>
      </c>
      <c r="P17" s="31" t="s">
        <v>452</v>
      </c>
      <c r="Q17" s="27">
        <v>1</v>
      </c>
    </row>
    <row r="18" spans="1:17" ht="16.5" customHeight="1">
      <c r="A18" s="88" t="s">
        <v>453</v>
      </c>
      <c r="B18" s="88" t="s">
        <v>19</v>
      </c>
      <c r="C18" s="39" t="s">
        <v>19</v>
      </c>
      <c r="D18" s="89"/>
      <c r="E18" s="90"/>
      <c r="F18" s="90"/>
      <c r="G18" s="90"/>
      <c r="H18" s="90"/>
      <c r="I18" s="90"/>
      <c r="J18" s="90">
        <f>SUMIF($Q$16:$Q$17, 1,$J$16:$J$17)</f>
        <v>19708</v>
      </c>
      <c r="K18" s="90"/>
      <c r="L18" s="90">
        <f t="shared" ref="L18:L26" si="0">F18+H18+J18</f>
        <v>19708</v>
      </c>
      <c r="M18" s="70"/>
    </row>
    <row r="19" spans="1:17" ht="16.5" customHeight="1">
      <c r="A19" s="88" t="s">
        <v>456</v>
      </c>
      <c r="B19" s="88" t="s">
        <v>19</v>
      </c>
      <c r="C19" s="39" t="s">
        <v>19</v>
      </c>
      <c r="D19" s="89"/>
      <c r="E19" s="90"/>
      <c r="F19" s="90"/>
      <c r="G19" s="90"/>
      <c r="H19" s="90"/>
      <c r="I19" s="90"/>
      <c r="J19" s="90"/>
      <c r="K19" s="90">
        <f>E19+G19+I19</f>
        <v>0</v>
      </c>
      <c r="L19" s="90">
        <f t="shared" si="0"/>
        <v>0</v>
      </c>
      <c r="M19" s="70"/>
    </row>
    <row r="20" spans="1:17" ht="16.5" customHeight="1">
      <c r="A20" s="88" t="s">
        <v>70</v>
      </c>
      <c r="B20" s="88" t="s">
        <v>71</v>
      </c>
      <c r="C20" s="39" t="s">
        <v>72</v>
      </c>
      <c r="D20" s="89">
        <v>11.6</v>
      </c>
      <c r="E20" s="90">
        <f>ROUNDDOWN(자재단가대비표!N22,0)</f>
        <v>1223</v>
      </c>
      <c r="F20" s="90">
        <f>ROUNDDOWN(D20*E20,1)</f>
        <v>14186.8</v>
      </c>
      <c r="G20" s="90"/>
      <c r="H20" s="90"/>
      <c r="I20" s="90"/>
      <c r="J20" s="90"/>
      <c r="K20" s="90">
        <f>E20+G20+I20</f>
        <v>1223</v>
      </c>
      <c r="L20" s="90">
        <f t="shared" si="0"/>
        <v>14186.8</v>
      </c>
      <c r="M20" s="70"/>
      <c r="O20" s="31" t="s">
        <v>457</v>
      </c>
      <c r="P20" s="31" t="s">
        <v>452</v>
      </c>
      <c r="Q20" s="27">
        <v>1</v>
      </c>
    </row>
    <row r="21" spans="1:17" ht="16.5" customHeight="1">
      <c r="A21" s="88" t="s">
        <v>458</v>
      </c>
      <c r="B21" s="34" t="str">
        <f>"주연료비의 "&amp;N21*100&amp;"%"</f>
        <v>주연료비의 22%</v>
      </c>
      <c r="C21" s="39" t="s">
        <v>459</v>
      </c>
      <c r="D21" s="92" t="s">
        <v>460</v>
      </c>
      <c r="E21" s="90">
        <f>SUMIF($O$15:O25, "01", $F$15:F25)</f>
        <v>14186.8</v>
      </c>
      <c r="F21" s="90">
        <f>ROUNDDOWN(E21*N21,1)</f>
        <v>3121</v>
      </c>
      <c r="G21" s="90"/>
      <c r="H21" s="90"/>
      <c r="I21" s="90"/>
      <c r="J21" s="90"/>
      <c r="K21" s="90">
        <f>E21+G21+I21</f>
        <v>14186.8</v>
      </c>
      <c r="L21" s="90">
        <f t="shared" si="0"/>
        <v>3121</v>
      </c>
      <c r="M21" s="70"/>
      <c r="N21" s="32">
        <v>0.22</v>
      </c>
      <c r="P21" s="31" t="s">
        <v>452</v>
      </c>
      <c r="Q21" s="27">
        <v>1</v>
      </c>
    </row>
    <row r="22" spans="1:17" ht="16.5" customHeight="1">
      <c r="A22" s="88" t="s">
        <v>453</v>
      </c>
      <c r="B22" s="88" t="s">
        <v>19</v>
      </c>
      <c r="C22" s="39" t="s">
        <v>19</v>
      </c>
      <c r="D22" s="89"/>
      <c r="E22" s="90"/>
      <c r="F22" s="90">
        <f>SUMIF($Q$19:$Q$21, 1,$F$19:$F$21)</f>
        <v>17307.8</v>
      </c>
      <c r="G22" s="90"/>
      <c r="H22" s="90"/>
      <c r="I22" s="90"/>
      <c r="J22" s="90"/>
      <c r="K22" s="90"/>
      <c r="L22" s="90">
        <f t="shared" si="0"/>
        <v>17307.8</v>
      </c>
      <c r="M22" s="70"/>
    </row>
    <row r="23" spans="1:17" ht="16.5" customHeight="1">
      <c r="A23" s="88" t="s">
        <v>461</v>
      </c>
      <c r="B23" s="88" t="s">
        <v>19</v>
      </c>
      <c r="C23" s="39" t="s">
        <v>19</v>
      </c>
      <c r="D23" s="89"/>
      <c r="E23" s="90"/>
      <c r="F23" s="90"/>
      <c r="G23" s="90"/>
      <c r="H23" s="90"/>
      <c r="I23" s="90"/>
      <c r="J23" s="90"/>
      <c r="K23" s="90">
        <f>E23+G23+I23</f>
        <v>0</v>
      </c>
      <c r="L23" s="90">
        <f t="shared" si="0"/>
        <v>0</v>
      </c>
      <c r="M23" s="70"/>
    </row>
    <row r="24" spans="1:17" ht="16.5" customHeight="1">
      <c r="A24" s="88" t="s">
        <v>338</v>
      </c>
      <c r="B24" s="88" t="s">
        <v>19</v>
      </c>
      <c r="C24" s="39" t="s">
        <v>339</v>
      </c>
      <c r="D24" s="89">
        <v>0.1458333</v>
      </c>
      <c r="E24" s="90"/>
      <c r="F24" s="90"/>
      <c r="G24" s="90">
        <f>ROUNDDOWN(자재단가대비표!N108,0)</f>
        <v>123642</v>
      </c>
      <c r="H24" s="90">
        <f>ROUNDDOWN(D24*G24,1)</f>
        <v>18031.099999999999</v>
      </c>
      <c r="I24" s="90"/>
      <c r="J24" s="90"/>
      <c r="K24" s="90">
        <f>E24+G24+I24</f>
        <v>123642</v>
      </c>
      <c r="L24" s="90">
        <f t="shared" si="0"/>
        <v>18031.099999999999</v>
      </c>
      <c r="M24" s="71" t="s">
        <v>340</v>
      </c>
      <c r="O24" s="31" t="s">
        <v>462</v>
      </c>
      <c r="P24" s="31" t="s">
        <v>452</v>
      </c>
      <c r="Q24" s="27">
        <v>1</v>
      </c>
    </row>
    <row r="25" spans="1:17" ht="16.5" customHeight="1">
      <c r="A25" s="88" t="s">
        <v>453</v>
      </c>
      <c r="B25" s="88" t="s">
        <v>19</v>
      </c>
      <c r="C25" s="39" t="s">
        <v>19</v>
      </c>
      <c r="D25" s="89"/>
      <c r="E25" s="90"/>
      <c r="F25" s="90"/>
      <c r="G25" s="90"/>
      <c r="H25" s="90">
        <f>SUMIF($Q$23:$Q$24, 1,$H$23:$H$24)</f>
        <v>18031.099999999999</v>
      </c>
      <c r="I25" s="90"/>
      <c r="J25" s="90"/>
      <c r="K25" s="90"/>
      <c r="L25" s="90">
        <f t="shared" si="0"/>
        <v>18031.099999999999</v>
      </c>
      <c r="M25" s="70"/>
    </row>
    <row r="26" spans="1:17" ht="16.5" customHeight="1">
      <c r="A26" s="116" t="s">
        <v>419</v>
      </c>
      <c r="B26" s="65"/>
      <c r="C26" s="66"/>
      <c r="D26" s="67"/>
      <c r="E26" s="67"/>
      <c r="F26" s="123">
        <f>ROUNDDOWN(SUMIF($Q$16:$Q$25, 1,$F$16:$F$25),0)</f>
        <v>17307</v>
      </c>
      <c r="G26" s="67"/>
      <c r="H26" s="123">
        <f>ROUNDDOWN(SUMIF($Q$16:$Q$25, 1,$H$16:$H$25),0)</f>
        <v>18031</v>
      </c>
      <c r="I26" s="67"/>
      <c r="J26" s="123">
        <f>ROUNDDOWN(SUMIF($Q$16:$Q$25, 1,$J$16:$J$25),0)</f>
        <v>19708</v>
      </c>
      <c r="K26" s="67"/>
      <c r="L26" s="123">
        <f t="shared" si="0"/>
        <v>55046</v>
      </c>
      <c r="M26" s="69"/>
    </row>
    <row r="27" spans="1:17" ht="16.5" customHeight="1">
      <c r="A27" s="88" t="s">
        <v>898</v>
      </c>
      <c r="B27" s="88" t="s">
        <v>463</v>
      </c>
      <c r="C27" s="39" t="s">
        <v>448</v>
      </c>
      <c r="D27" s="89"/>
      <c r="E27" s="90"/>
      <c r="F27" s="90"/>
      <c r="G27" s="90"/>
      <c r="H27" s="90"/>
      <c r="I27" s="90"/>
      <c r="J27" s="90"/>
      <c r="K27" s="90"/>
      <c r="L27" s="90"/>
      <c r="M27" s="71" t="s">
        <v>449</v>
      </c>
    </row>
    <row r="28" spans="1:17" ht="16.5" customHeight="1">
      <c r="A28" s="88" t="s">
        <v>450</v>
      </c>
      <c r="B28" s="88" t="s">
        <v>19</v>
      </c>
      <c r="C28" s="39" t="s">
        <v>19</v>
      </c>
      <c r="D28" s="89"/>
      <c r="E28" s="90"/>
      <c r="F28" s="90"/>
      <c r="G28" s="90"/>
      <c r="H28" s="90"/>
      <c r="I28" s="90"/>
      <c r="J28" s="90"/>
      <c r="K28" s="90">
        <f>E28+G28+I28</f>
        <v>0</v>
      </c>
      <c r="L28" s="90">
        <f>F28+H28+J28</f>
        <v>0</v>
      </c>
      <c r="M28" s="70"/>
    </row>
    <row r="29" spans="1:17" ht="16.5" customHeight="1">
      <c r="A29" s="88" t="s">
        <v>367</v>
      </c>
      <c r="B29" s="88" t="s">
        <v>368</v>
      </c>
      <c r="C29" s="39" t="s">
        <v>149</v>
      </c>
      <c r="D29" s="89">
        <v>2.2130000000000001E-4</v>
      </c>
      <c r="E29" s="90"/>
      <c r="F29" s="90"/>
      <c r="G29" s="90"/>
      <c r="H29" s="90"/>
      <c r="I29" s="90">
        <f>ROUNDDOWN(자재단가대비표!N131,0)</f>
        <v>78101000</v>
      </c>
      <c r="J29" s="90">
        <f>ROUNDDOWN(D29*I29,1)</f>
        <v>17283.7</v>
      </c>
      <c r="K29" s="90">
        <f>E29+G29+I29</f>
        <v>78101000</v>
      </c>
      <c r="L29" s="90">
        <f>F29+H29+J29</f>
        <v>17283.7</v>
      </c>
      <c r="M29" s="71" t="s">
        <v>366</v>
      </c>
      <c r="O29" s="31" t="s">
        <v>451</v>
      </c>
      <c r="P29" s="31" t="s">
        <v>452</v>
      </c>
      <c r="Q29" s="27">
        <v>1</v>
      </c>
    </row>
    <row r="30" spans="1:17" ht="16.5" customHeight="1">
      <c r="A30" s="88" t="s">
        <v>453</v>
      </c>
      <c r="B30" s="88" t="s">
        <v>19</v>
      </c>
      <c r="C30" s="39" t="s">
        <v>19</v>
      </c>
      <c r="D30" s="89"/>
      <c r="E30" s="90"/>
      <c r="F30" s="90"/>
      <c r="G30" s="90"/>
      <c r="H30" s="90"/>
      <c r="I30" s="90"/>
      <c r="J30" s="90">
        <f>SUMIF($Q$28:$Q$29, 1,$J$28:$J$29)</f>
        <v>17283.7</v>
      </c>
      <c r="K30" s="90"/>
      <c r="L30" s="90">
        <f t="shared" ref="L30:L38" si="1">F30+H30+J30</f>
        <v>17283.7</v>
      </c>
      <c r="M30" s="70"/>
    </row>
    <row r="31" spans="1:17" ht="16.5" customHeight="1">
      <c r="A31" s="88" t="s">
        <v>456</v>
      </c>
      <c r="B31" s="88" t="s">
        <v>19</v>
      </c>
      <c r="C31" s="39" t="s">
        <v>19</v>
      </c>
      <c r="D31" s="89"/>
      <c r="E31" s="90"/>
      <c r="F31" s="90"/>
      <c r="G31" s="90"/>
      <c r="H31" s="90"/>
      <c r="I31" s="90"/>
      <c r="J31" s="90"/>
      <c r="K31" s="90">
        <f>E31+G31+I31</f>
        <v>0</v>
      </c>
      <c r="L31" s="90">
        <f t="shared" si="1"/>
        <v>0</v>
      </c>
      <c r="M31" s="70"/>
    </row>
    <row r="32" spans="1:17" ht="16.5" customHeight="1">
      <c r="A32" s="88" t="s">
        <v>70</v>
      </c>
      <c r="B32" s="88" t="s">
        <v>71</v>
      </c>
      <c r="C32" s="39" t="s">
        <v>72</v>
      </c>
      <c r="D32" s="89">
        <v>15.9</v>
      </c>
      <c r="E32" s="90">
        <f>ROUNDDOWN(자재단가대비표!N22,0)</f>
        <v>1223</v>
      </c>
      <c r="F32" s="90">
        <f>ROUNDDOWN(D32*E32,1)</f>
        <v>19445.7</v>
      </c>
      <c r="G32" s="90"/>
      <c r="H32" s="90"/>
      <c r="I32" s="90"/>
      <c r="J32" s="90"/>
      <c r="K32" s="90">
        <f>E32+G32+I32</f>
        <v>1223</v>
      </c>
      <c r="L32" s="90">
        <f t="shared" si="1"/>
        <v>19445.7</v>
      </c>
      <c r="M32" s="70"/>
      <c r="O32" s="31" t="s">
        <v>457</v>
      </c>
      <c r="P32" s="31" t="s">
        <v>452</v>
      </c>
      <c r="Q32" s="27">
        <v>1</v>
      </c>
    </row>
    <row r="33" spans="1:17" ht="16.5" customHeight="1">
      <c r="A33" s="88" t="s">
        <v>458</v>
      </c>
      <c r="B33" s="34" t="str">
        <f>"주연료비의 "&amp;N33*100&amp;"%"</f>
        <v>주연료비의 38%</v>
      </c>
      <c r="C33" s="39" t="s">
        <v>459</v>
      </c>
      <c r="D33" s="92" t="s">
        <v>460</v>
      </c>
      <c r="E33" s="90">
        <f>SUMIF($O$27:O37, "01", $F$27:F37)</f>
        <v>19445.7</v>
      </c>
      <c r="F33" s="90">
        <f>ROUNDDOWN(E33*N33,1)</f>
        <v>7389.3</v>
      </c>
      <c r="G33" s="90"/>
      <c r="H33" s="90"/>
      <c r="I33" s="90"/>
      <c r="J33" s="90"/>
      <c r="K33" s="90">
        <f>E33+G33+I33</f>
        <v>19445.7</v>
      </c>
      <c r="L33" s="90">
        <f t="shared" si="1"/>
        <v>7389.3</v>
      </c>
      <c r="M33" s="70"/>
      <c r="N33" s="32">
        <v>0.38</v>
      </c>
      <c r="P33" s="31" t="s">
        <v>452</v>
      </c>
      <c r="Q33" s="27">
        <v>1</v>
      </c>
    </row>
    <row r="34" spans="1:17" ht="16.5" customHeight="1">
      <c r="A34" s="88" t="s">
        <v>453</v>
      </c>
      <c r="B34" s="88" t="s">
        <v>19</v>
      </c>
      <c r="C34" s="39" t="s">
        <v>19</v>
      </c>
      <c r="D34" s="89"/>
      <c r="E34" s="90"/>
      <c r="F34" s="90">
        <f>SUMIF($Q$31:$Q$33, 1,$F$31:$F$33)</f>
        <v>26835</v>
      </c>
      <c r="G34" s="90"/>
      <c r="H34" s="90"/>
      <c r="I34" s="90"/>
      <c r="J34" s="90"/>
      <c r="K34" s="90"/>
      <c r="L34" s="90">
        <f t="shared" si="1"/>
        <v>26835</v>
      </c>
      <c r="M34" s="70"/>
    </row>
    <row r="35" spans="1:17" ht="16.5" customHeight="1">
      <c r="A35" s="88" t="s">
        <v>461</v>
      </c>
      <c r="B35" s="88" t="s">
        <v>19</v>
      </c>
      <c r="C35" s="39" t="s">
        <v>19</v>
      </c>
      <c r="D35" s="89"/>
      <c r="E35" s="90"/>
      <c r="F35" s="90"/>
      <c r="G35" s="90"/>
      <c r="H35" s="90"/>
      <c r="I35" s="90"/>
      <c r="J35" s="90"/>
      <c r="K35" s="90">
        <f>E35+G35+I35</f>
        <v>0</v>
      </c>
      <c r="L35" s="90">
        <f t="shared" si="1"/>
        <v>0</v>
      </c>
      <c r="M35" s="70"/>
    </row>
    <row r="36" spans="1:17" ht="16.5" customHeight="1">
      <c r="A36" s="88" t="s">
        <v>338</v>
      </c>
      <c r="B36" s="88" t="s">
        <v>19</v>
      </c>
      <c r="C36" s="39" t="s">
        <v>339</v>
      </c>
      <c r="D36" s="89">
        <v>0.1458333</v>
      </c>
      <c r="E36" s="90"/>
      <c r="F36" s="90"/>
      <c r="G36" s="90">
        <f>ROUNDDOWN(자재단가대비표!N108,0)</f>
        <v>123642</v>
      </c>
      <c r="H36" s="90">
        <f>ROUNDDOWN(D36*G36,1)</f>
        <v>18031.099999999999</v>
      </c>
      <c r="I36" s="90"/>
      <c r="J36" s="90"/>
      <c r="K36" s="90">
        <f>E36+G36+I36</f>
        <v>123642</v>
      </c>
      <c r="L36" s="90">
        <f t="shared" si="1"/>
        <v>18031.099999999999</v>
      </c>
      <c r="M36" s="71" t="s">
        <v>340</v>
      </c>
      <c r="O36" s="31" t="s">
        <v>462</v>
      </c>
      <c r="P36" s="31" t="s">
        <v>452</v>
      </c>
      <c r="Q36" s="27">
        <v>1</v>
      </c>
    </row>
    <row r="37" spans="1:17" ht="16.5" customHeight="1">
      <c r="A37" s="88" t="s">
        <v>453</v>
      </c>
      <c r="B37" s="88" t="s">
        <v>19</v>
      </c>
      <c r="C37" s="39" t="s">
        <v>19</v>
      </c>
      <c r="D37" s="89"/>
      <c r="E37" s="90"/>
      <c r="F37" s="90"/>
      <c r="G37" s="90"/>
      <c r="H37" s="90">
        <f>SUMIF($Q$35:$Q$36, 1,$H$35:$H$36)</f>
        <v>18031.099999999999</v>
      </c>
      <c r="I37" s="90"/>
      <c r="J37" s="90"/>
      <c r="K37" s="90"/>
      <c r="L37" s="90">
        <f t="shared" si="1"/>
        <v>18031.099999999999</v>
      </c>
      <c r="M37" s="70"/>
    </row>
    <row r="38" spans="1:17" ht="16.5" customHeight="1">
      <c r="A38" s="116" t="s">
        <v>419</v>
      </c>
      <c r="B38" s="65"/>
      <c r="C38" s="66"/>
      <c r="D38" s="67"/>
      <c r="E38" s="67"/>
      <c r="F38" s="123">
        <f>ROUNDDOWN(SUMIF($Q$28:$Q$37, 1,$F$28:$F$37),0)</f>
        <v>26835</v>
      </c>
      <c r="G38" s="67"/>
      <c r="H38" s="123">
        <f>ROUNDDOWN(SUMIF($Q$28:$Q$37, 1,$H$28:$H$37),0)</f>
        <v>18031</v>
      </c>
      <c r="I38" s="67"/>
      <c r="J38" s="123">
        <f>ROUNDDOWN(SUMIF($Q$28:$Q$37, 1,$J$28:$J$37),0)</f>
        <v>17283</v>
      </c>
      <c r="K38" s="67"/>
      <c r="L38" s="123">
        <f t="shared" si="1"/>
        <v>62149</v>
      </c>
      <c r="M38" s="69"/>
    </row>
    <row r="39" spans="1:17" ht="16.5" customHeight="1">
      <c r="A39" s="34"/>
      <c r="B39" s="34"/>
      <c r="C39" s="35"/>
      <c r="D39" s="38"/>
      <c r="E39" s="38"/>
      <c r="F39" s="38"/>
      <c r="G39" s="38"/>
      <c r="H39" s="38"/>
      <c r="I39" s="38"/>
      <c r="J39" s="38"/>
      <c r="K39" s="38"/>
      <c r="L39" s="38"/>
      <c r="M39" s="70"/>
    </row>
    <row r="40" spans="1:17" ht="16.5" customHeight="1">
      <c r="A40" s="34"/>
      <c r="B40" s="34"/>
      <c r="C40" s="35"/>
      <c r="D40" s="38"/>
      <c r="E40" s="38"/>
      <c r="F40" s="38"/>
      <c r="G40" s="38"/>
      <c r="H40" s="38"/>
      <c r="I40" s="38"/>
      <c r="J40" s="38"/>
      <c r="K40" s="38"/>
      <c r="L40" s="38"/>
      <c r="M40" s="70"/>
    </row>
    <row r="41" spans="1:17" ht="16.5" customHeight="1">
      <c r="A41" s="34"/>
      <c r="B41" s="34"/>
      <c r="C41" s="35"/>
      <c r="D41" s="38"/>
      <c r="E41" s="38"/>
      <c r="F41" s="38"/>
      <c r="G41" s="38"/>
      <c r="H41" s="38"/>
      <c r="I41" s="38"/>
      <c r="J41" s="38"/>
      <c r="K41" s="38"/>
      <c r="L41" s="38"/>
      <c r="M41" s="70"/>
    </row>
    <row r="42" spans="1:17" ht="16.5" customHeight="1">
      <c r="A42" s="34"/>
      <c r="B42" s="34"/>
      <c r="C42" s="35"/>
      <c r="D42" s="38"/>
      <c r="E42" s="38"/>
      <c r="F42" s="38"/>
      <c r="G42" s="38"/>
      <c r="H42" s="38"/>
      <c r="I42" s="38"/>
      <c r="J42" s="38"/>
      <c r="K42" s="38"/>
      <c r="L42" s="38"/>
      <c r="M42" s="70"/>
    </row>
    <row r="43" spans="1:17" ht="16.5" customHeight="1">
      <c r="A43" s="34"/>
      <c r="B43" s="34"/>
      <c r="C43" s="35"/>
      <c r="D43" s="38"/>
      <c r="E43" s="38"/>
      <c r="F43" s="38"/>
      <c r="G43" s="38"/>
      <c r="H43" s="38"/>
      <c r="I43" s="38"/>
      <c r="J43" s="38"/>
      <c r="K43" s="38"/>
      <c r="L43" s="38"/>
      <c r="M43" s="70"/>
    </row>
    <row r="44" spans="1:17" ht="16.5" customHeight="1">
      <c r="A44" s="34"/>
      <c r="B44" s="34"/>
      <c r="C44" s="35"/>
      <c r="D44" s="38"/>
      <c r="E44" s="38"/>
      <c r="F44" s="38"/>
      <c r="G44" s="38"/>
      <c r="H44" s="38"/>
      <c r="I44" s="38"/>
      <c r="J44" s="38"/>
      <c r="K44" s="38"/>
      <c r="L44" s="38"/>
      <c r="M44" s="70"/>
    </row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3" type="noConversion"/>
  <pageMargins left="0.74803149606299213" right="0.19685039370078738" top="0.74803149606299213" bottom="0.55118110236220463" header="0.51181102362204722" footer="0.31496062992125989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19D86"/>
  </sheetPr>
  <dimension ref="A1:R24"/>
  <sheetViews>
    <sheetView view="pageBreakPreview" zoomScale="115" zoomScaleSheetLayoutView="115" workbookViewId="0">
      <selection activeCell="B8" sqref="B8"/>
    </sheetView>
  </sheetViews>
  <sheetFormatPr defaultRowHeight="10.5"/>
  <cols>
    <col min="1" max="1" width="5.625" style="28" customWidth="1"/>
    <col min="2" max="2" width="18.625" style="27" customWidth="1"/>
    <col min="3" max="3" width="15.625" style="27" customWidth="1"/>
    <col min="4" max="4" width="4.625" style="28" customWidth="1"/>
    <col min="5" max="5" width="6.625" style="28" customWidth="1"/>
    <col min="6" max="6" width="7.625" style="29" customWidth="1"/>
    <col min="7" max="7" width="8.625" style="29" customWidth="1"/>
    <col min="8" max="8" width="7.625" style="29" customWidth="1"/>
    <col min="9" max="9" width="8.625" style="29" customWidth="1"/>
    <col min="10" max="10" width="7.625" style="29" customWidth="1"/>
    <col min="11" max="11" width="8.625" style="29" customWidth="1"/>
    <col min="12" max="12" width="7.625" style="29" customWidth="1"/>
    <col min="13" max="13" width="8.625" style="29" customWidth="1"/>
    <col min="14" max="14" width="6.625" style="30" customWidth="1"/>
    <col min="15" max="18" width="0" style="27" hidden="1" customWidth="1"/>
    <col min="19" max="16384" width="9" style="27"/>
  </cols>
  <sheetData>
    <row r="1" spans="1:18" ht="26.1" customHeight="1">
      <c r="A1" s="142" t="s">
        <v>503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</row>
    <row r="2" spans="1:18" ht="16.5" customHeight="1">
      <c r="A2" s="157" t="s">
        <v>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</row>
    <row r="3" spans="1:18" ht="16.5" customHeight="1">
      <c r="A3" s="156" t="s">
        <v>465</v>
      </c>
      <c r="B3" s="156" t="s">
        <v>382</v>
      </c>
      <c r="C3" s="156" t="s">
        <v>383</v>
      </c>
      <c r="D3" s="156" t="s">
        <v>4</v>
      </c>
      <c r="E3" s="156" t="s">
        <v>466</v>
      </c>
      <c r="F3" s="156" t="s">
        <v>467</v>
      </c>
      <c r="G3" s="156"/>
      <c r="H3" s="156" t="s">
        <v>468</v>
      </c>
      <c r="I3" s="156"/>
      <c r="J3" s="156" t="s">
        <v>469</v>
      </c>
      <c r="K3" s="156"/>
      <c r="L3" s="156" t="s">
        <v>470</v>
      </c>
      <c r="M3" s="156"/>
      <c r="N3" s="156" t="s">
        <v>440</v>
      </c>
    </row>
    <row r="4" spans="1:18" ht="16.5" customHeight="1">
      <c r="A4" s="156"/>
      <c r="B4" s="156"/>
      <c r="C4" s="156"/>
      <c r="D4" s="156"/>
      <c r="E4" s="156"/>
      <c r="F4" s="87" t="s">
        <v>441</v>
      </c>
      <c r="G4" s="87" t="s">
        <v>442</v>
      </c>
      <c r="H4" s="87" t="s">
        <v>441</v>
      </c>
      <c r="I4" s="87" t="s">
        <v>442</v>
      </c>
      <c r="J4" s="87" t="s">
        <v>441</v>
      </c>
      <c r="K4" s="87" t="s">
        <v>442</v>
      </c>
      <c r="L4" s="87" t="s">
        <v>441</v>
      </c>
      <c r="M4" s="87" t="s">
        <v>442</v>
      </c>
      <c r="N4" s="156"/>
      <c r="O4" s="27" t="s">
        <v>443</v>
      </c>
      <c r="P4" s="27" t="s">
        <v>444</v>
      </c>
      <c r="Q4" s="27" t="s">
        <v>445</v>
      </c>
      <c r="R4" s="27" t="s">
        <v>446</v>
      </c>
    </row>
    <row r="5" spans="1:18" ht="16.5" customHeight="1">
      <c r="A5" s="39" t="s">
        <v>902</v>
      </c>
      <c r="B5" s="88" t="s">
        <v>504</v>
      </c>
      <c r="C5" s="88" t="s">
        <v>505</v>
      </c>
      <c r="D5" s="39" t="s">
        <v>506</v>
      </c>
      <c r="E5" s="35">
        <v>1</v>
      </c>
      <c r="F5" s="91">
        <f>단가산출서!B45</f>
        <v>3067</v>
      </c>
      <c r="G5" s="91">
        <f>E5*F5</f>
        <v>3067</v>
      </c>
      <c r="H5" s="91">
        <f>단가산출서!C45</f>
        <v>2311</v>
      </c>
      <c r="I5" s="91">
        <f>E5*H5</f>
        <v>2311</v>
      </c>
      <c r="J5" s="91">
        <f>단가산출서!D45</f>
        <v>2310</v>
      </c>
      <c r="K5" s="91">
        <f>E5*J5</f>
        <v>2310</v>
      </c>
      <c r="L5" s="91">
        <f>F5+H5+J5</f>
        <v>7688</v>
      </c>
      <c r="M5" s="91">
        <f>G5+I5+K5</f>
        <v>7688</v>
      </c>
      <c r="N5" s="71" t="s">
        <v>477</v>
      </c>
    </row>
    <row r="6" spans="1:18" ht="16.5" customHeight="1">
      <c r="A6" s="35"/>
      <c r="B6" s="34"/>
      <c r="C6" s="34"/>
      <c r="D6" s="35"/>
      <c r="E6" s="35"/>
      <c r="F6" s="38"/>
      <c r="G6" s="91"/>
      <c r="H6" s="38"/>
      <c r="I6" s="91"/>
      <c r="J6" s="38"/>
      <c r="K6" s="91"/>
      <c r="L6" s="38"/>
      <c r="M6" s="91"/>
      <c r="N6" s="70"/>
    </row>
    <row r="7" spans="1:18" ht="16.5" customHeight="1">
      <c r="A7" s="35"/>
      <c r="B7" s="34"/>
      <c r="C7" s="34"/>
      <c r="D7" s="35"/>
      <c r="E7" s="35"/>
      <c r="F7" s="38"/>
      <c r="G7" s="91"/>
      <c r="H7" s="38"/>
      <c r="I7" s="91"/>
      <c r="J7" s="38"/>
      <c r="K7" s="91"/>
      <c r="L7" s="38"/>
      <c r="M7" s="91"/>
      <c r="N7" s="70"/>
    </row>
    <row r="8" spans="1:18" ht="16.5" customHeight="1">
      <c r="A8" s="35"/>
      <c r="B8" s="34"/>
      <c r="C8" s="34"/>
      <c r="D8" s="35"/>
      <c r="E8" s="35"/>
      <c r="F8" s="38"/>
      <c r="G8" s="91"/>
      <c r="H8" s="38"/>
      <c r="I8" s="91"/>
      <c r="J8" s="38"/>
      <c r="K8" s="91"/>
      <c r="L8" s="38"/>
      <c r="M8" s="91"/>
      <c r="N8" s="70"/>
    </row>
    <row r="9" spans="1:18" ht="16.5" customHeight="1">
      <c r="A9" s="35"/>
      <c r="B9" s="34"/>
      <c r="C9" s="34"/>
      <c r="D9" s="35"/>
      <c r="E9" s="35"/>
      <c r="F9" s="38"/>
      <c r="G9" s="91"/>
      <c r="H9" s="38"/>
      <c r="I9" s="91"/>
      <c r="J9" s="38"/>
      <c r="K9" s="91"/>
      <c r="L9" s="38"/>
      <c r="M9" s="91"/>
      <c r="N9" s="70"/>
    </row>
    <row r="10" spans="1:18" ht="16.5" customHeight="1">
      <c r="A10" s="35"/>
      <c r="B10" s="34"/>
      <c r="C10" s="34"/>
      <c r="D10" s="35"/>
      <c r="E10" s="35"/>
      <c r="F10" s="38"/>
      <c r="G10" s="91"/>
      <c r="H10" s="38"/>
      <c r="I10" s="91"/>
      <c r="J10" s="38"/>
      <c r="K10" s="91"/>
      <c r="L10" s="38"/>
      <c r="M10" s="91"/>
      <c r="N10" s="70"/>
    </row>
    <row r="11" spans="1:18" ht="16.5" customHeight="1">
      <c r="A11" s="35"/>
      <c r="B11" s="34"/>
      <c r="C11" s="34"/>
      <c r="D11" s="35"/>
      <c r="E11" s="35"/>
      <c r="F11" s="38"/>
      <c r="G11" s="91"/>
      <c r="H11" s="38"/>
      <c r="I11" s="91"/>
      <c r="J11" s="38"/>
      <c r="K11" s="91"/>
      <c r="L11" s="38"/>
      <c r="M11" s="91"/>
      <c r="N11" s="70"/>
    </row>
    <row r="12" spans="1:18" ht="16.5" customHeight="1">
      <c r="A12" s="35"/>
      <c r="B12" s="34"/>
      <c r="C12" s="34"/>
      <c r="D12" s="35"/>
      <c r="E12" s="35"/>
      <c r="F12" s="38"/>
      <c r="G12" s="91"/>
      <c r="H12" s="38"/>
      <c r="I12" s="91"/>
      <c r="J12" s="38"/>
      <c r="K12" s="91"/>
      <c r="L12" s="38"/>
      <c r="M12" s="91"/>
      <c r="N12" s="70"/>
    </row>
    <row r="13" spans="1:18" ht="16.5" customHeight="1">
      <c r="A13" s="35"/>
      <c r="B13" s="34"/>
      <c r="C13" s="34"/>
      <c r="D13" s="35"/>
      <c r="E13" s="35"/>
      <c r="F13" s="38"/>
      <c r="G13" s="91"/>
      <c r="H13" s="38"/>
      <c r="I13" s="91"/>
      <c r="J13" s="38"/>
      <c r="K13" s="91"/>
      <c r="L13" s="38"/>
      <c r="M13" s="91"/>
      <c r="N13" s="70"/>
    </row>
    <row r="14" spans="1:18" ht="16.5" customHeight="1">
      <c r="A14" s="35"/>
      <c r="B14" s="34"/>
      <c r="C14" s="34"/>
      <c r="D14" s="35"/>
      <c r="E14" s="35"/>
      <c r="F14" s="38"/>
      <c r="G14" s="91"/>
      <c r="H14" s="38"/>
      <c r="I14" s="91"/>
      <c r="J14" s="38"/>
      <c r="K14" s="91"/>
      <c r="L14" s="38"/>
      <c r="M14" s="91"/>
      <c r="N14" s="70"/>
    </row>
    <row r="15" spans="1:18" ht="16.5" customHeight="1">
      <c r="A15" s="35"/>
      <c r="B15" s="34"/>
      <c r="C15" s="34"/>
      <c r="D15" s="35"/>
      <c r="E15" s="35"/>
      <c r="F15" s="38"/>
      <c r="G15" s="91"/>
      <c r="H15" s="38"/>
      <c r="I15" s="91"/>
      <c r="J15" s="38"/>
      <c r="K15" s="91"/>
      <c r="L15" s="38"/>
      <c r="M15" s="91"/>
      <c r="N15" s="70"/>
    </row>
    <row r="16" spans="1:18" ht="16.5" customHeight="1">
      <c r="A16" s="35"/>
      <c r="B16" s="34"/>
      <c r="C16" s="34"/>
      <c r="D16" s="35"/>
      <c r="E16" s="35"/>
      <c r="F16" s="38"/>
      <c r="G16" s="91"/>
      <c r="H16" s="38"/>
      <c r="I16" s="91"/>
      <c r="J16" s="38"/>
      <c r="K16" s="91"/>
      <c r="L16" s="38"/>
      <c r="M16" s="91"/>
      <c r="N16" s="70"/>
    </row>
    <row r="17" spans="1:14" ht="16.5" customHeight="1">
      <c r="A17" s="35"/>
      <c r="B17" s="34"/>
      <c r="C17" s="34"/>
      <c r="D17" s="35"/>
      <c r="E17" s="35"/>
      <c r="F17" s="38"/>
      <c r="G17" s="91"/>
      <c r="H17" s="38"/>
      <c r="I17" s="91"/>
      <c r="J17" s="38"/>
      <c r="K17" s="91"/>
      <c r="L17" s="38"/>
      <c r="M17" s="91"/>
      <c r="N17" s="70"/>
    </row>
    <row r="18" spans="1:14" ht="16.5" customHeight="1">
      <c r="A18" s="35"/>
      <c r="B18" s="34"/>
      <c r="C18" s="34"/>
      <c r="D18" s="35"/>
      <c r="E18" s="35"/>
      <c r="F18" s="38"/>
      <c r="G18" s="91"/>
      <c r="H18" s="38"/>
      <c r="I18" s="91"/>
      <c r="J18" s="38"/>
      <c r="K18" s="91"/>
      <c r="L18" s="38"/>
      <c r="M18" s="91"/>
      <c r="N18" s="70"/>
    </row>
    <row r="19" spans="1:14" ht="16.5" customHeight="1">
      <c r="A19" s="35"/>
      <c r="B19" s="34"/>
      <c r="C19" s="34"/>
      <c r="D19" s="35"/>
      <c r="E19" s="35"/>
      <c r="F19" s="38"/>
      <c r="G19" s="91"/>
      <c r="H19" s="38"/>
      <c r="I19" s="91"/>
      <c r="J19" s="38"/>
      <c r="K19" s="91"/>
      <c r="L19" s="38"/>
      <c r="M19" s="91"/>
      <c r="N19" s="70"/>
    </row>
    <row r="20" spans="1:14" ht="16.5" customHeight="1">
      <c r="A20" s="35"/>
      <c r="B20" s="34"/>
      <c r="C20" s="34"/>
      <c r="D20" s="35"/>
      <c r="E20" s="35"/>
      <c r="F20" s="38"/>
      <c r="G20" s="91"/>
      <c r="H20" s="38"/>
      <c r="I20" s="91"/>
      <c r="J20" s="38"/>
      <c r="K20" s="91"/>
      <c r="L20" s="38"/>
      <c r="M20" s="91"/>
      <c r="N20" s="70"/>
    </row>
    <row r="21" spans="1:14" ht="16.5" customHeight="1">
      <c r="A21" s="35"/>
      <c r="B21" s="34"/>
      <c r="C21" s="34"/>
      <c r="D21" s="35"/>
      <c r="E21" s="35"/>
      <c r="F21" s="38"/>
      <c r="G21" s="91"/>
      <c r="H21" s="38"/>
      <c r="I21" s="91"/>
      <c r="J21" s="38"/>
      <c r="K21" s="91"/>
      <c r="L21" s="38"/>
      <c r="M21" s="91"/>
      <c r="N21" s="70"/>
    </row>
    <row r="22" spans="1:14" ht="16.5" customHeight="1">
      <c r="A22" s="35"/>
      <c r="B22" s="34"/>
      <c r="C22" s="34"/>
      <c r="D22" s="35"/>
      <c r="E22" s="35"/>
      <c r="F22" s="38"/>
      <c r="G22" s="91"/>
      <c r="H22" s="38"/>
      <c r="I22" s="91"/>
      <c r="J22" s="38"/>
      <c r="K22" s="91"/>
      <c r="L22" s="38"/>
      <c r="M22" s="91"/>
      <c r="N22" s="70"/>
    </row>
    <row r="23" spans="1:14" ht="16.5" customHeight="1">
      <c r="A23" s="35"/>
      <c r="B23" s="34"/>
      <c r="C23" s="34"/>
      <c r="D23" s="35"/>
      <c r="E23" s="35"/>
      <c r="F23" s="38"/>
      <c r="G23" s="91"/>
      <c r="H23" s="38"/>
      <c r="I23" s="91"/>
      <c r="J23" s="38"/>
      <c r="K23" s="91"/>
      <c r="L23" s="38"/>
      <c r="M23" s="91"/>
      <c r="N23" s="70"/>
    </row>
    <row r="24" spans="1:14" ht="16.5" customHeight="1">
      <c r="A24" s="35"/>
      <c r="B24" s="34"/>
      <c r="C24" s="34"/>
      <c r="D24" s="35"/>
      <c r="E24" s="35"/>
      <c r="F24" s="38"/>
      <c r="G24" s="91"/>
      <c r="H24" s="38"/>
      <c r="I24" s="91"/>
      <c r="J24" s="38"/>
      <c r="K24" s="91"/>
      <c r="L24" s="38"/>
      <c r="M24" s="91"/>
      <c r="N24" s="70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3" type="noConversion"/>
  <pageMargins left="0.74803149606299213" right="0.19685039370078738" top="0.74803149606299213" bottom="0.55118110236220463" header="0.51181102362204722" footer="0.31496062992125989"/>
  <pageSetup paperSize="9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FFB7"/>
  </sheetPr>
  <dimension ref="A1:O56"/>
  <sheetViews>
    <sheetView view="pageBreakPreview" zoomScale="115" zoomScaleSheetLayoutView="115" workbookViewId="0">
      <selection activeCell="B8" sqref="B8"/>
    </sheetView>
  </sheetViews>
  <sheetFormatPr defaultRowHeight="10.5"/>
  <cols>
    <col min="1" max="1" width="50.625" style="30" customWidth="1"/>
    <col min="2" max="5" width="15.625" style="29" customWidth="1"/>
    <col min="6" max="6" width="8.625" style="29" customWidth="1"/>
    <col min="7" max="15" width="0" style="27" hidden="1" customWidth="1"/>
    <col min="16" max="16384" width="9" style="27"/>
  </cols>
  <sheetData>
    <row r="1" spans="1:15" ht="26.1" customHeight="1">
      <c r="A1" s="142" t="s">
        <v>473</v>
      </c>
      <c r="B1" s="142"/>
      <c r="C1" s="142"/>
      <c r="D1" s="142"/>
      <c r="E1" s="142"/>
      <c r="F1" s="142"/>
    </row>
    <row r="2" spans="1:15" ht="15.95" customHeight="1">
      <c r="A2" s="157" t="s">
        <v>1</v>
      </c>
      <c r="B2" s="157"/>
      <c r="C2" s="157"/>
      <c r="D2" s="157"/>
      <c r="E2" s="157"/>
      <c r="F2" s="157"/>
    </row>
    <row r="3" spans="1:15" ht="15.95" customHeight="1">
      <c r="A3" s="156" t="s">
        <v>474</v>
      </c>
      <c r="B3" s="87" t="s">
        <v>467</v>
      </c>
      <c r="C3" s="87" t="s">
        <v>468</v>
      </c>
      <c r="D3" s="87" t="s">
        <v>469</v>
      </c>
      <c r="E3" s="87" t="s">
        <v>470</v>
      </c>
      <c r="F3" s="156" t="s">
        <v>475</v>
      </c>
    </row>
    <row r="4" spans="1:15" ht="15.95" customHeight="1">
      <c r="A4" s="156"/>
      <c r="B4" s="87" t="s">
        <v>476</v>
      </c>
      <c r="C4" s="87" t="s">
        <v>476</v>
      </c>
      <c r="D4" s="87" t="s">
        <v>476</v>
      </c>
      <c r="E4" s="87" t="s">
        <v>476</v>
      </c>
      <c r="F4" s="156"/>
      <c r="G4" s="27" t="s">
        <v>443</v>
      </c>
      <c r="H4" s="27" t="s">
        <v>444</v>
      </c>
      <c r="I4" s="27" t="s">
        <v>445</v>
      </c>
      <c r="J4" s="27" t="s">
        <v>446</v>
      </c>
    </row>
    <row r="5" spans="1:15" ht="15.95" customHeight="1">
      <c r="A5" s="71" t="s">
        <v>901</v>
      </c>
      <c r="B5" s="90"/>
      <c r="C5" s="90"/>
      <c r="D5" s="90"/>
      <c r="E5" s="90"/>
      <c r="F5" s="93" t="s">
        <v>477</v>
      </c>
    </row>
    <row r="6" spans="1:15" ht="15.95" customHeight="1">
      <c r="A6" s="71" t="s">
        <v>478</v>
      </c>
      <c r="B6" s="90"/>
      <c r="C6" s="90"/>
      <c r="D6" s="90"/>
      <c r="E6" s="90">
        <f t="shared" ref="E6:E45" si="0">B6+C6+D6</f>
        <v>0</v>
      </c>
      <c r="F6" s="38"/>
      <c r="J6" s="27">
        <v>0</v>
      </c>
      <c r="L6" s="27">
        <v>0</v>
      </c>
      <c r="M6" s="27">
        <v>0</v>
      </c>
      <c r="N6" s="27">
        <v>0</v>
      </c>
      <c r="O6" s="27">
        <v>0</v>
      </c>
    </row>
    <row r="7" spans="1:15" ht="15.95" customHeight="1">
      <c r="A7" s="71" t="s">
        <v>479</v>
      </c>
      <c r="B7" s="90"/>
      <c r="C7" s="90"/>
      <c r="D7" s="90"/>
      <c r="E7" s="90">
        <f t="shared" si="0"/>
        <v>0</v>
      </c>
      <c r="F7" s="93" t="s">
        <v>899</v>
      </c>
      <c r="J7" s="27">
        <v>0</v>
      </c>
      <c r="L7" s="27">
        <f>ROUNDDOWN(1,4)</f>
        <v>1</v>
      </c>
      <c r="M7" s="27">
        <f>중기경비!F26</f>
        <v>17307</v>
      </c>
      <c r="N7" s="27">
        <f>중기경비!H26</f>
        <v>18031</v>
      </c>
      <c r="O7" s="27">
        <f>중기경비!J26</f>
        <v>19708</v>
      </c>
    </row>
    <row r="8" spans="1:15" ht="15.95" customHeight="1">
      <c r="A8" s="70" t="str">
        <f>" 버킷용량(㎥) : q = "&amp;L8</f>
        <v xml:space="preserve"> 버킷용량(㎥) : q = 0.7</v>
      </c>
      <c r="B8" s="90"/>
      <c r="C8" s="90"/>
      <c r="D8" s="90"/>
      <c r="E8" s="90">
        <f t="shared" si="0"/>
        <v>0</v>
      </c>
      <c r="F8" s="38"/>
      <c r="J8" s="27">
        <v>0</v>
      </c>
      <c r="K8" s="27" t="s">
        <v>480</v>
      </c>
      <c r="L8" s="27">
        <f>ROUNDDOWN(0.7,4)</f>
        <v>0.7</v>
      </c>
      <c r="M8" s="27">
        <v>0</v>
      </c>
      <c r="N8" s="27">
        <v>0</v>
      </c>
      <c r="O8" s="27">
        <v>0</v>
      </c>
    </row>
    <row r="9" spans="1:15" ht="15.95" customHeight="1">
      <c r="A9" s="70" t="str">
        <f>" 버킷계수 : k = "&amp;L9</f>
        <v xml:space="preserve"> 버킷계수 : k = 0.55</v>
      </c>
      <c r="B9" s="90"/>
      <c r="C9" s="90"/>
      <c r="D9" s="90"/>
      <c r="E9" s="90">
        <f t="shared" si="0"/>
        <v>0</v>
      </c>
      <c r="F9" s="38"/>
      <c r="J9" s="27">
        <v>0</v>
      </c>
      <c r="K9" s="27" t="s">
        <v>481</v>
      </c>
      <c r="L9" s="27">
        <f>ROUNDDOWN(0.55,4)</f>
        <v>0.55000000000000004</v>
      </c>
      <c r="M9" s="27">
        <v>0</v>
      </c>
      <c r="N9" s="27">
        <v>0</v>
      </c>
      <c r="O9" s="27">
        <v>0</v>
      </c>
    </row>
    <row r="10" spans="1:15" ht="15.95" customHeight="1">
      <c r="A10" s="70" t="str">
        <f>" 토량환산계수 : f = "&amp;L10</f>
        <v xml:space="preserve"> 토량환산계수 : f = 1</v>
      </c>
      <c r="B10" s="90"/>
      <c r="C10" s="90"/>
      <c r="D10" s="90"/>
      <c r="E10" s="90">
        <f t="shared" si="0"/>
        <v>0</v>
      </c>
      <c r="F10" s="38"/>
      <c r="J10" s="27">
        <v>0</v>
      </c>
      <c r="K10" s="27" t="s">
        <v>482</v>
      </c>
      <c r="L10" s="27">
        <f>ROUNDDOWN(1,4)</f>
        <v>1</v>
      </c>
      <c r="M10" s="27">
        <v>0</v>
      </c>
      <c r="N10" s="27">
        <v>0</v>
      </c>
      <c r="O10" s="27">
        <v>0</v>
      </c>
    </row>
    <row r="11" spans="1:15" ht="15.95" customHeight="1">
      <c r="A11" s="70" t="str">
        <f>" 작업효율 : E = "&amp;L11</f>
        <v xml:space="preserve"> 작업효율 : E = 0.35</v>
      </c>
      <c r="B11" s="90"/>
      <c r="C11" s="90"/>
      <c r="D11" s="90"/>
      <c r="E11" s="90">
        <f t="shared" si="0"/>
        <v>0</v>
      </c>
      <c r="F11" s="38"/>
      <c r="J11" s="27">
        <v>0</v>
      </c>
      <c r="K11" s="27" t="s">
        <v>483</v>
      </c>
      <c r="L11" s="27">
        <f>ROUNDDOWN(0.35,4)</f>
        <v>0.35</v>
      </c>
      <c r="M11" s="27">
        <v>0</v>
      </c>
      <c r="N11" s="27">
        <v>0</v>
      </c>
      <c r="O11" s="27">
        <v>0</v>
      </c>
    </row>
    <row r="12" spans="1:15" ht="15.95" customHeight="1">
      <c r="A12" s="70" t="str">
        <f>" 1회사이클시간(초) : Cm = "&amp;L12</f>
        <v xml:space="preserve"> 1회사이클시간(초) : Cm = 19</v>
      </c>
      <c r="B12" s="90"/>
      <c r="C12" s="90"/>
      <c r="D12" s="90"/>
      <c r="E12" s="90">
        <f t="shared" si="0"/>
        <v>0</v>
      </c>
      <c r="F12" s="38"/>
      <c r="J12" s="27">
        <v>0</v>
      </c>
      <c r="K12" s="27" t="s">
        <v>484</v>
      </c>
      <c r="L12" s="27">
        <f>ROUND(19,2)</f>
        <v>19</v>
      </c>
      <c r="M12" s="27">
        <v>0</v>
      </c>
      <c r="N12" s="27">
        <v>0</v>
      </c>
      <c r="O12" s="27">
        <v>0</v>
      </c>
    </row>
    <row r="13" spans="1:15" ht="15.95" customHeight="1">
      <c r="A13" s="70" t="str">
        <f>" 시간당작업량(㎥/hr) : Q = (3600*q*k*f*E)/Cm = "&amp;L13</f>
        <v xml:space="preserve"> 시간당작업량(㎥/hr) : Q = (3600*q*k*f*E)/Cm = 25.53</v>
      </c>
      <c r="B13" s="90"/>
      <c r="C13" s="90"/>
      <c r="D13" s="90"/>
      <c r="E13" s="90">
        <f t="shared" si="0"/>
        <v>0</v>
      </c>
      <c r="F13" s="38"/>
      <c r="J13" s="27">
        <v>0</v>
      </c>
      <c r="K13" s="27" t="s">
        <v>485</v>
      </c>
      <c r="L13" s="27">
        <f>ROUND((3600*L8*L9*L10*L11)/L12,2)</f>
        <v>25.53</v>
      </c>
      <c r="M13" s="27">
        <v>0</v>
      </c>
      <c r="N13" s="27">
        <v>0</v>
      </c>
      <c r="O13" s="27">
        <v>0</v>
      </c>
    </row>
    <row r="14" spans="1:15" ht="15.95" customHeight="1">
      <c r="A14" s="70" t="str">
        <f>" 재료비 : "&amp;M7&amp;"/"&amp;"2"&amp;"5"&amp;"."&amp;"5"&amp;"3"</f>
        <v xml:space="preserve"> 재료비 : 17307/25.53</v>
      </c>
      <c r="B14" s="90">
        <f>ROUNDDOWN((M7)/25.53,1)</f>
        <v>677.9</v>
      </c>
      <c r="C14" s="90"/>
      <c r="D14" s="90"/>
      <c r="E14" s="90">
        <f t="shared" si="0"/>
        <v>677.9</v>
      </c>
      <c r="F14" s="38"/>
      <c r="I14" s="31" t="s">
        <v>452</v>
      </c>
      <c r="J14" s="27">
        <v>1</v>
      </c>
      <c r="L14" s="27">
        <v>0</v>
      </c>
      <c r="M14" s="27">
        <v>0</v>
      </c>
      <c r="N14" s="27">
        <v>0</v>
      </c>
      <c r="O14" s="27">
        <v>0</v>
      </c>
    </row>
    <row r="15" spans="1:15" ht="15.95" customHeight="1">
      <c r="A15" s="70" t="str">
        <f>" 노무비 : "&amp;N7&amp;"/"&amp;"2"&amp;"5"&amp;"."&amp;"5"&amp;"3"</f>
        <v xml:space="preserve"> 노무비 : 18031/25.53</v>
      </c>
      <c r="B15" s="90"/>
      <c r="C15" s="90">
        <f>ROUNDDOWN((N7)/25.53,1)</f>
        <v>706.2</v>
      </c>
      <c r="D15" s="90"/>
      <c r="E15" s="90">
        <f t="shared" si="0"/>
        <v>706.2</v>
      </c>
      <c r="F15" s="38"/>
      <c r="I15" s="31" t="s">
        <v>452</v>
      </c>
      <c r="J15" s="27">
        <v>1</v>
      </c>
      <c r="L15" s="27">
        <v>0</v>
      </c>
      <c r="M15" s="27">
        <v>0</v>
      </c>
      <c r="N15" s="27">
        <v>0</v>
      </c>
      <c r="O15" s="27">
        <v>0</v>
      </c>
    </row>
    <row r="16" spans="1:15" ht="15.95" customHeight="1">
      <c r="A16" s="70" t="str">
        <f>" 경  비 : "&amp;O7&amp;"/"&amp;"2"&amp;"5"&amp;"."&amp;"5"&amp;"3"</f>
        <v xml:space="preserve"> 경  비 : 19708/25.53</v>
      </c>
      <c r="B16" s="90"/>
      <c r="C16" s="90"/>
      <c r="D16" s="90">
        <f>ROUNDDOWN((O7)/25.53,1)</f>
        <v>771.9</v>
      </c>
      <c r="E16" s="90">
        <f t="shared" si="0"/>
        <v>771.9</v>
      </c>
      <c r="F16" s="38"/>
      <c r="I16" s="31" t="s">
        <v>452</v>
      </c>
      <c r="J16" s="27">
        <v>1</v>
      </c>
      <c r="L16" s="27">
        <v>0</v>
      </c>
      <c r="M16" s="27">
        <v>0</v>
      </c>
      <c r="N16" s="27">
        <v>0</v>
      </c>
      <c r="O16" s="27">
        <v>0</v>
      </c>
    </row>
    <row r="17" spans="1:15" ht="15.95" customHeight="1">
      <c r="A17" s="71" t="s">
        <v>486</v>
      </c>
      <c r="B17" s="90">
        <f>SUMIF($J$7:$J$16,1,$B$7:$B$16)</f>
        <v>677.9</v>
      </c>
      <c r="C17" s="90">
        <f>SUMIF($J$7:$J$16,1,$C$7:$C$16)</f>
        <v>706.2</v>
      </c>
      <c r="D17" s="90">
        <f>SUMIF($J$7:$J$16,1,$D$7:$D$16)</f>
        <v>771.9</v>
      </c>
      <c r="E17" s="90">
        <f t="shared" si="0"/>
        <v>2156</v>
      </c>
      <c r="F17" s="38"/>
      <c r="J17" s="27">
        <v>0</v>
      </c>
      <c r="L17" s="27">
        <v>0</v>
      </c>
      <c r="M17" s="27">
        <v>0</v>
      </c>
      <c r="N17" s="27">
        <v>0</v>
      </c>
      <c r="O17" s="27">
        <v>0</v>
      </c>
    </row>
    <row r="18" spans="1:15" ht="15.95" customHeight="1">
      <c r="A18" s="71" t="s">
        <v>487</v>
      </c>
      <c r="B18" s="90"/>
      <c r="C18" s="90"/>
      <c r="D18" s="90"/>
      <c r="E18" s="90">
        <f t="shared" si="0"/>
        <v>0</v>
      </c>
      <c r="F18" s="38"/>
      <c r="J18" s="27">
        <v>0</v>
      </c>
      <c r="L18" s="27">
        <v>0</v>
      </c>
      <c r="M18" s="27">
        <v>0</v>
      </c>
      <c r="N18" s="27">
        <v>0</v>
      </c>
      <c r="O18" s="27">
        <v>0</v>
      </c>
    </row>
    <row r="19" spans="1:15" ht="15.95" customHeight="1">
      <c r="A19" s="71" t="s">
        <v>488</v>
      </c>
      <c r="B19" s="90"/>
      <c r="C19" s="90"/>
      <c r="D19" s="90"/>
      <c r="E19" s="90">
        <f t="shared" si="0"/>
        <v>0</v>
      </c>
      <c r="F19" s="93" t="s">
        <v>900</v>
      </c>
      <c r="J19" s="27">
        <v>0</v>
      </c>
      <c r="L19" s="27">
        <f>ROUNDDOWN(1,4)</f>
        <v>1</v>
      </c>
      <c r="M19" s="27">
        <f>중기경비!F38</f>
        <v>26835</v>
      </c>
      <c r="N19" s="27">
        <f>중기경비!H38</f>
        <v>18031</v>
      </c>
      <c r="O19" s="27">
        <f>중기경비!J38</f>
        <v>17283</v>
      </c>
    </row>
    <row r="20" spans="1:15" ht="15.95" customHeight="1">
      <c r="A20" s="70" t="str">
        <f>" 운반거리(㎞) : V = "&amp;L20</f>
        <v xml:space="preserve"> 운반거리(㎞) : V = 10</v>
      </c>
      <c r="B20" s="90"/>
      <c r="C20" s="90"/>
      <c r="D20" s="90"/>
      <c r="E20" s="90">
        <f t="shared" si="0"/>
        <v>0</v>
      </c>
      <c r="F20" s="38"/>
      <c r="J20" s="27">
        <v>0</v>
      </c>
      <c r="K20" s="27" t="s">
        <v>489</v>
      </c>
      <c r="L20" s="27">
        <f>ROUNDDOWN(10,4)</f>
        <v>10</v>
      </c>
      <c r="M20" s="27">
        <v>0</v>
      </c>
      <c r="N20" s="27">
        <v>0</v>
      </c>
      <c r="O20" s="27">
        <v>0</v>
      </c>
    </row>
    <row r="21" spans="1:15" ht="15.95" customHeight="1">
      <c r="A21" s="70" t="str">
        <f>" 적재시평균주행속도(㎞/hr) : V1 = "&amp;L21</f>
        <v xml:space="preserve"> 적재시평균주행속도(㎞/hr) : V1 = 35</v>
      </c>
      <c r="B21" s="90"/>
      <c r="C21" s="90"/>
      <c r="D21" s="90"/>
      <c r="E21" s="90">
        <f t="shared" si="0"/>
        <v>0</v>
      </c>
      <c r="F21" s="38"/>
      <c r="J21" s="27">
        <v>0</v>
      </c>
      <c r="K21" s="27" t="s">
        <v>490</v>
      </c>
      <c r="L21" s="27">
        <f>ROUNDDOWN(35,4)</f>
        <v>35</v>
      </c>
      <c r="M21" s="27">
        <v>0</v>
      </c>
      <c r="N21" s="27">
        <v>0</v>
      </c>
      <c r="O21" s="27">
        <v>0</v>
      </c>
    </row>
    <row r="22" spans="1:15" ht="15.95" customHeight="1">
      <c r="A22" s="70" t="str">
        <f>" 공차시평균주행속도(㎞/hr) : V2 = "&amp;L22</f>
        <v xml:space="preserve"> 공차시평균주행속도(㎞/hr) : V2 = 35</v>
      </c>
      <c r="B22" s="90"/>
      <c r="C22" s="90"/>
      <c r="D22" s="90"/>
      <c r="E22" s="90">
        <f t="shared" si="0"/>
        <v>0</v>
      </c>
      <c r="F22" s="38"/>
      <c r="J22" s="27">
        <v>0</v>
      </c>
      <c r="K22" s="27" t="s">
        <v>491</v>
      </c>
      <c r="L22" s="27">
        <f>ROUNDDOWN(35,4)</f>
        <v>35</v>
      </c>
      <c r="M22" s="27">
        <v>0</v>
      </c>
      <c r="N22" s="27">
        <v>0</v>
      </c>
      <c r="O22" s="27">
        <v>0</v>
      </c>
    </row>
    <row r="23" spans="1:15" ht="15.95" customHeight="1">
      <c r="A23" s="70" t="str">
        <f>" 버킷계수 : k = "&amp;L23</f>
        <v xml:space="preserve"> 버킷계수 : k = 0.9</v>
      </c>
      <c r="B23" s="90"/>
      <c r="C23" s="90"/>
      <c r="D23" s="90"/>
      <c r="E23" s="90">
        <f t="shared" si="0"/>
        <v>0</v>
      </c>
      <c r="F23" s="38"/>
      <c r="J23" s="27">
        <v>0</v>
      </c>
      <c r="K23" s="27" t="s">
        <v>481</v>
      </c>
      <c r="L23" s="27">
        <f>ROUNDDOWN(0.9,4)</f>
        <v>0.9</v>
      </c>
      <c r="M23" s="27">
        <v>0</v>
      </c>
      <c r="N23" s="27">
        <v>0</v>
      </c>
      <c r="O23" s="27">
        <v>0</v>
      </c>
    </row>
    <row r="24" spans="1:15" ht="15.95" customHeight="1">
      <c r="A24" s="70" t="str">
        <f>" 버킷용량(㎥) : q = "&amp;L24</f>
        <v xml:space="preserve"> 버킷용량(㎥) : q = 0.7</v>
      </c>
      <c r="B24" s="90"/>
      <c r="C24" s="90"/>
      <c r="D24" s="90"/>
      <c r="E24" s="90">
        <f t="shared" si="0"/>
        <v>0</v>
      </c>
      <c r="F24" s="38"/>
      <c r="J24" s="27">
        <v>0</v>
      </c>
      <c r="K24" s="27" t="s">
        <v>480</v>
      </c>
      <c r="L24" s="27">
        <f>ROUNDDOWN(0.7,4)</f>
        <v>0.7</v>
      </c>
      <c r="M24" s="27">
        <v>0</v>
      </c>
      <c r="N24" s="27">
        <v>0</v>
      </c>
      <c r="O24" s="27">
        <v>0</v>
      </c>
    </row>
    <row r="25" spans="1:15" ht="15.95" customHeight="1">
      <c r="A25" s="70" t="str">
        <f>" 덤프트럭의적재용량(톤) : T = "&amp;L25</f>
        <v xml:space="preserve"> 덤프트럭의적재용량(톤) : T = 15</v>
      </c>
      <c r="B25" s="90"/>
      <c r="C25" s="90"/>
      <c r="D25" s="90"/>
      <c r="E25" s="90">
        <f t="shared" si="0"/>
        <v>0</v>
      </c>
      <c r="F25" s="38"/>
      <c r="J25" s="27">
        <v>0</v>
      </c>
      <c r="K25" s="27" t="s">
        <v>492</v>
      </c>
      <c r="L25" s="27">
        <f>ROUNDDOWN(15,4)</f>
        <v>15</v>
      </c>
      <c r="M25" s="27">
        <v>0</v>
      </c>
      <c r="N25" s="27">
        <v>0</v>
      </c>
      <c r="O25" s="27">
        <v>0</v>
      </c>
    </row>
    <row r="26" spans="1:15" ht="15.95" customHeight="1">
      <c r="A26" s="70" t="str">
        <f>" 자연상태에서의토석의단위중량(톤/㎥) : rt = "&amp;L26</f>
        <v xml:space="preserve"> 자연상태에서의토석의단위중량(톤/㎥) : rt = 2.3</v>
      </c>
      <c r="B26" s="90"/>
      <c r="C26" s="90"/>
      <c r="D26" s="90"/>
      <c r="E26" s="90">
        <f t="shared" si="0"/>
        <v>0</v>
      </c>
      <c r="F26" s="38"/>
      <c r="J26" s="27">
        <v>0</v>
      </c>
      <c r="K26" s="27" t="s">
        <v>493</v>
      </c>
      <c r="L26" s="27">
        <f>ROUNDDOWN(2.3,4)</f>
        <v>2.2999999999999998</v>
      </c>
      <c r="M26" s="27">
        <v>0</v>
      </c>
      <c r="N26" s="27">
        <v>0</v>
      </c>
      <c r="O26" s="27">
        <v>0</v>
      </c>
    </row>
    <row r="27" spans="1:15" ht="15.95" customHeight="1">
      <c r="A27" s="70" t="str">
        <f>" 토량환산계수에서의토량변환율 : L = "&amp;L27</f>
        <v xml:space="preserve"> 토량환산계수에서의토량변환율 : L = 1.625</v>
      </c>
      <c r="B27" s="90"/>
      <c r="C27" s="90"/>
      <c r="D27" s="90"/>
      <c r="E27" s="90">
        <f t="shared" si="0"/>
        <v>0</v>
      </c>
      <c r="F27" s="38"/>
      <c r="J27" s="27">
        <v>0</v>
      </c>
      <c r="K27" s="27" t="s">
        <v>72</v>
      </c>
      <c r="L27" s="27">
        <f>ROUNDDOWN(1.625,4)</f>
        <v>1.625</v>
      </c>
      <c r="M27" s="27">
        <v>0</v>
      </c>
      <c r="N27" s="27">
        <v>0</v>
      </c>
      <c r="O27" s="27">
        <v>0</v>
      </c>
    </row>
    <row r="28" spans="1:15" ht="15.95" customHeight="1">
      <c r="A28" s="70" t="str">
        <f>" 덤프트럭1대의적재토량(㎥) : Qt = (T/rt)*L = "&amp;L28</f>
        <v xml:space="preserve"> 덤프트럭1대의적재토량(㎥) : Qt = (T/rt)*L = 10.5978</v>
      </c>
      <c r="B28" s="90"/>
      <c r="C28" s="90"/>
      <c r="D28" s="90"/>
      <c r="E28" s="90">
        <f t="shared" si="0"/>
        <v>0</v>
      </c>
      <c r="F28" s="38"/>
      <c r="J28" s="27">
        <v>0</v>
      </c>
      <c r="K28" s="27" t="s">
        <v>494</v>
      </c>
      <c r="L28" s="27">
        <f>ROUNDDOWN((L25/L26)*L27,4)</f>
        <v>10.597799999999999</v>
      </c>
      <c r="M28" s="27">
        <v>0</v>
      </c>
      <c r="N28" s="27">
        <v>0</v>
      </c>
      <c r="O28" s="27">
        <v>0</v>
      </c>
    </row>
    <row r="29" spans="1:15" ht="15.95" customHeight="1">
      <c r="A29" s="70" t="str">
        <f>" 토량환산계수 : f = "&amp;L29</f>
        <v xml:space="preserve"> 토량환산계수 : f = 1</v>
      </c>
      <c r="B29" s="90"/>
      <c r="C29" s="90"/>
      <c r="D29" s="90"/>
      <c r="E29" s="90">
        <f t="shared" si="0"/>
        <v>0</v>
      </c>
      <c r="F29" s="38"/>
      <c r="J29" s="27">
        <v>0</v>
      </c>
      <c r="K29" s="27" t="s">
        <v>482</v>
      </c>
      <c r="L29" s="27">
        <f>ROUNDDOWN(1,4)</f>
        <v>1</v>
      </c>
      <c r="M29" s="27">
        <v>0</v>
      </c>
      <c r="N29" s="27">
        <v>0</v>
      </c>
      <c r="O29" s="27">
        <v>0</v>
      </c>
    </row>
    <row r="30" spans="1:15" ht="15.95" customHeight="1">
      <c r="A30" s="70" t="str">
        <f>" 작업효율 : E = "&amp;L30</f>
        <v xml:space="preserve"> 작업효율 : E = 0.9</v>
      </c>
      <c r="B30" s="90"/>
      <c r="C30" s="90"/>
      <c r="D30" s="90"/>
      <c r="E30" s="90">
        <f t="shared" si="0"/>
        <v>0</v>
      </c>
      <c r="F30" s="38"/>
      <c r="J30" s="27">
        <v>0</v>
      </c>
      <c r="K30" s="27" t="s">
        <v>483</v>
      </c>
      <c r="L30" s="27">
        <f>ROUNDDOWN(0.9,4)</f>
        <v>0.9</v>
      </c>
      <c r="M30" s="27">
        <v>0</v>
      </c>
      <c r="N30" s="27">
        <v>0</v>
      </c>
      <c r="O30" s="27">
        <v>0</v>
      </c>
    </row>
    <row r="31" spans="1:15" ht="15.95" customHeight="1">
      <c r="A31" s="70" t="str">
        <f>" D/T1대의토량적재소요적재기계싸이클회수 : n = Qt/(q*k) = "&amp;L31</f>
        <v xml:space="preserve"> D/T1대의토량적재소요적재기계싸이클회수 : n = Qt/(q*k) = 16.8219</v>
      </c>
      <c r="B31" s="90"/>
      <c r="C31" s="90"/>
      <c r="D31" s="90"/>
      <c r="E31" s="90">
        <f t="shared" si="0"/>
        <v>0</v>
      </c>
      <c r="F31" s="38"/>
      <c r="J31" s="27">
        <v>0</v>
      </c>
      <c r="K31" s="27" t="s">
        <v>495</v>
      </c>
      <c r="L31" s="27">
        <f>ROUNDDOWN(L28/(L24*L23),4)</f>
        <v>16.821899999999999</v>
      </c>
      <c r="M31" s="27">
        <v>0</v>
      </c>
      <c r="N31" s="27">
        <v>0</v>
      </c>
      <c r="O31" s="27">
        <v>0</v>
      </c>
    </row>
    <row r="32" spans="1:15" ht="15.95" customHeight="1">
      <c r="A32" s="70" t="str">
        <f>" 적재기계의1회사이클시간(초) : Cms = "&amp;L32</f>
        <v xml:space="preserve"> 적재기계의1회사이클시간(초) : Cms = 19</v>
      </c>
      <c r="B32" s="90"/>
      <c r="C32" s="90"/>
      <c r="D32" s="90"/>
      <c r="E32" s="90">
        <f t="shared" si="0"/>
        <v>0</v>
      </c>
      <c r="F32" s="38"/>
      <c r="J32" s="27">
        <v>0</v>
      </c>
      <c r="K32" s="27" t="s">
        <v>496</v>
      </c>
      <c r="L32" s="27">
        <f>ROUNDDOWN(19,4)</f>
        <v>19</v>
      </c>
      <c r="M32" s="27">
        <v>0</v>
      </c>
      <c r="N32" s="27">
        <v>0</v>
      </c>
      <c r="O32" s="27">
        <v>0</v>
      </c>
    </row>
    <row r="33" spans="1:15" ht="15.95" customHeight="1">
      <c r="A33" s="70" t="str">
        <f>" 적재기계의작업효율 : Es = "&amp;L33</f>
        <v xml:space="preserve"> 적재기계의작업효율 : Es = 0.35</v>
      </c>
      <c r="B33" s="90"/>
      <c r="C33" s="90"/>
      <c r="D33" s="90"/>
      <c r="E33" s="90">
        <f t="shared" si="0"/>
        <v>0</v>
      </c>
      <c r="F33" s="38"/>
      <c r="J33" s="27">
        <v>0</v>
      </c>
      <c r="K33" s="27" t="s">
        <v>497</v>
      </c>
      <c r="L33" s="27">
        <f>ROUNDDOWN(0.35,4)</f>
        <v>0.35</v>
      </c>
      <c r="M33" s="27">
        <v>0</v>
      </c>
      <c r="N33" s="27">
        <v>0</v>
      </c>
      <c r="O33" s="27">
        <v>0</v>
      </c>
    </row>
    <row r="34" spans="1:15" ht="15.95" customHeight="1">
      <c r="A34" s="70" t="str">
        <f>" 적재시간(분) : t1 = (Cms*n)/(60*Es) = "&amp;L34</f>
        <v xml:space="preserve"> 적재시간(분) : t1 = (Cms*n)/(60*Es) = 15.2198</v>
      </c>
      <c r="B34" s="90"/>
      <c r="C34" s="90"/>
      <c r="D34" s="90"/>
      <c r="E34" s="90">
        <f t="shared" si="0"/>
        <v>0</v>
      </c>
      <c r="F34" s="38"/>
      <c r="J34" s="27">
        <v>0</v>
      </c>
      <c r="K34" s="27" t="s">
        <v>498</v>
      </c>
      <c r="L34" s="27">
        <f>ROUNDDOWN((L32*L31)/(60*L33),4)</f>
        <v>15.219799999999999</v>
      </c>
      <c r="M34" s="27">
        <v>0</v>
      </c>
      <c r="N34" s="27">
        <v>0</v>
      </c>
      <c r="O34" s="27">
        <v>0</v>
      </c>
    </row>
    <row r="35" spans="1:15" ht="15.95" customHeight="1">
      <c r="A35" s="70" t="str">
        <f>" 왕복시간(분) : t2 = (V/V1+V/V2)*60 = "&amp;L35</f>
        <v xml:space="preserve"> 왕복시간(분) : t2 = (V/V1+V/V2)*60 = 34.2857</v>
      </c>
      <c r="B35" s="90"/>
      <c r="C35" s="90"/>
      <c r="D35" s="90"/>
      <c r="E35" s="90">
        <f t="shared" si="0"/>
        <v>0</v>
      </c>
      <c r="F35" s="38"/>
      <c r="J35" s="27">
        <v>0</v>
      </c>
      <c r="K35" s="27" t="s">
        <v>499</v>
      </c>
      <c r="L35" s="27">
        <f>ROUNDDOWN((L20/L21+L20/L22)*60,4)</f>
        <v>34.285699999999999</v>
      </c>
      <c r="M35" s="27">
        <v>0</v>
      </c>
      <c r="N35" s="27">
        <v>0</v>
      </c>
      <c r="O35" s="27">
        <v>0</v>
      </c>
    </row>
    <row r="36" spans="1:15" ht="15.95" customHeight="1">
      <c r="A36" s="70" t="str">
        <f>" 적하시간(분) : t3 = "&amp;L36</f>
        <v xml:space="preserve"> 적하시간(분) : t3 = 0.8</v>
      </c>
      <c r="B36" s="90"/>
      <c r="C36" s="90"/>
      <c r="D36" s="90"/>
      <c r="E36" s="90">
        <f t="shared" si="0"/>
        <v>0</v>
      </c>
      <c r="F36" s="38"/>
      <c r="J36" s="27">
        <v>0</v>
      </c>
      <c r="K36" s="27" t="s">
        <v>500</v>
      </c>
      <c r="L36" s="27">
        <f>ROUNDDOWN(0.8,4)</f>
        <v>0.8</v>
      </c>
      <c r="M36" s="27">
        <v>0</v>
      </c>
      <c r="N36" s="27">
        <v>0</v>
      </c>
      <c r="O36" s="27">
        <v>0</v>
      </c>
    </row>
    <row r="37" spans="1:15" ht="15.95" customHeight="1">
      <c r="A37" s="70" t="str">
        <f>" 적재장소도착부터적재작업시작까지(분) : t4 = "&amp;L37</f>
        <v xml:space="preserve"> 적재장소도착부터적재작업시작까지(분) : t4 = 0.15</v>
      </c>
      <c r="B37" s="90"/>
      <c r="C37" s="90"/>
      <c r="D37" s="90"/>
      <c r="E37" s="90">
        <f t="shared" si="0"/>
        <v>0</v>
      </c>
      <c r="F37" s="38"/>
      <c r="J37" s="27">
        <v>0</v>
      </c>
      <c r="K37" s="27" t="s">
        <v>501</v>
      </c>
      <c r="L37" s="27">
        <f>ROUNDDOWN(0.15,4)</f>
        <v>0.15</v>
      </c>
      <c r="M37" s="27">
        <v>0</v>
      </c>
      <c r="N37" s="27">
        <v>0</v>
      </c>
      <c r="O37" s="27">
        <v>0</v>
      </c>
    </row>
    <row r="38" spans="1:15" ht="15.95" customHeight="1">
      <c r="A38" s="70" t="str">
        <f>" 적재함덮개설치및해체시간(분) : t5 = "&amp;L38</f>
        <v xml:space="preserve"> 적재함덮개설치및해체시간(분) : t5 = 0.5</v>
      </c>
      <c r="B38" s="90"/>
      <c r="C38" s="90"/>
      <c r="D38" s="90"/>
      <c r="E38" s="90">
        <f t="shared" si="0"/>
        <v>0</v>
      </c>
      <c r="F38" s="38"/>
      <c r="J38" s="27">
        <v>0</v>
      </c>
      <c r="K38" s="27" t="s">
        <v>502</v>
      </c>
      <c r="L38" s="27">
        <f>ROUNDDOWN(0.5,4)</f>
        <v>0.5</v>
      </c>
      <c r="M38" s="27">
        <v>0</v>
      </c>
      <c r="N38" s="27">
        <v>0</v>
      </c>
      <c r="O38" s="27">
        <v>0</v>
      </c>
    </row>
    <row r="39" spans="1:15" ht="15.95" customHeight="1">
      <c r="A39" s="70" t="str">
        <f>" 1회사이클시간(분) : Cm = t1+t2+t3+t4+t5 = "&amp;L39</f>
        <v xml:space="preserve"> 1회사이클시간(분) : Cm = t1+t2+t3+t4+t5 = 50.96</v>
      </c>
      <c r="B39" s="90"/>
      <c r="C39" s="90"/>
      <c r="D39" s="90"/>
      <c r="E39" s="90">
        <f t="shared" si="0"/>
        <v>0</v>
      </c>
      <c r="F39" s="38"/>
      <c r="J39" s="27">
        <v>0</v>
      </c>
      <c r="K39" s="27" t="s">
        <v>484</v>
      </c>
      <c r="L39" s="27">
        <f>ROUND(L34+L35+L36+L37+L38,2)</f>
        <v>50.96</v>
      </c>
      <c r="M39" s="27">
        <v>0</v>
      </c>
      <c r="N39" s="27">
        <v>0</v>
      </c>
      <c r="O39" s="27">
        <v>0</v>
      </c>
    </row>
    <row r="40" spans="1:15" ht="15.95" customHeight="1">
      <c r="A40" s="70" t="str">
        <f>" 시간당작업량(㎥/hr) : Q = (60*Qt*f*E)/Cm = "&amp;L40</f>
        <v xml:space="preserve"> 시간당작업량(㎥/hr) : Q = (60*Qt*f*E)/Cm = 11.23</v>
      </c>
      <c r="B40" s="90"/>
      <c r="C40" s="90"/>
      <c r="D40" s="90"/>
      <c r="E40" s="90">
        <f t="shared" si="0"/>
        <v>0</v>
      </c>
      <c r="F40" s="38"/>
      <c r="J40" s="27">
        <v>0</v>
      </c>
      <c r="K40" s="27" t="s">
        <v>485</v>
      </c>
      <c r="L40" s="27">
        <f>ROUND((60*L28*L29*L30)/L39,2)</f>
        <v>11.23</v>
      </c>
      <c r="M40" s="27">
        <v>0</v>
      </c>
      <c r="N40" s="27">
        <v>0</v>
      </c>
      <c r="O40" s="27">
        <v>0</v>
      </c>
    </row>
    <row r="41" spans="1:15" ht="15.95" customHeight="1">
      <c r="A41" s="70" t="str">
        <f>" 재료비 : "&amp;M19&amp;"/"&amp;"1"&amp;"1"&amp;"."&amp;"2"&amp;"3"</f>
        <v xml:space="preserve"> 재료비 : 26835/11.23</v>
      </c>
      <c r="B41" s="90">
        <f>ROUNDDOWN((M19)/11.23,1)</f>
        <v>2389.5</v>
      </c>
      <c r="C41" s="90"/>
      <c r="D41" s="90"/>
      <c r="E41" s="90">
        <f t="shared" si="0"/>
        <v>2389.5</v>
      </c>
      <c r="F41" s="38"/>
      <c r="I41" s="31" t="s">
        <v>452</v>
      </c>
      <c r="J41" s="27">
        <v>1</v>
      </c>
      <c r="L41" s="27">
        <v>0</v>
      </c>
      <c r="M41" s="27">
        <v>0</v>
      </c>
      <c r="N41" s="27">
        <v>0</v>
      </c>
      <c r="O41" s="27">
        <v>0</v>
      </c>
    </row>
    <row r="42" spans="1:15" ht="15.95" customHeight="1">
      <c r="A42" s="70" t="str">
        <f>" 노무비 : "&amp;N19&amp;"/"&amp;"1"&amp;"1"&amp;"."&amp;"2"&amp;"3"</f>
        <v xml:space="preserve"> 노무비 : 18031/11.23</v>
      </c>
      <c r="B42" s="90"/>
      <c r="C42" s="90">
        <f>ROUNDDOWN((N19)/11.23,1)</f>
        <v>1605.6</v>
      </c>
      <c r="D42" s="90"/>
      <c r="E42" s="90">
        <f t="shared" si="0"/>
        <v>1605.6</v>
      </c>
      <c r="F42" s="38"/>
      <c r="I42" s="31" t="s">
        <v>452</v>
      </c>
      <c r="J42" s="27">
        <v>1</v>
      </c>
      <c r="L42" s="27">
        <v>0</v>
      </c>
      <c r="M42" s="27">
        <v>0</v>
      </c>
      <c r="N42" s="27">
        <v>0</v>
      </c>
      <c r="O42" s="27">
        <v>0</v>
      </c>
    </row>
    <row r="43" spans="1:15" ht="15.95" customHeight="1">
      <c r="A43" s="70" t="str">
        <f>" 경  비 : "&amp;O19&amp;"/"&amp;"1"&amp;"1"&amp;"."&amp;"2"&amp;"3"</f>
        <v xml:space="preserve"> 경  비 : 17283/11.23</v>
      </c>
      <c r="B43" s="90"/>
      <c r="C43" s="90"/>
      <c r="D43" s="90">
        <f>ROUNDDOWN((O19)/11.23,1)</f>
        <v>1539</v>
      </c>
      <c r="E43" s="90">
        <f t="shared" si="0"/>
        <v>1539</v>
      </c>
      <c r="F43" s="38"/>
      <c r="I43" s="31" t="s">
        <v>452</v>
      </c>
      <c r="J43" s="27">
        <v>1</v>
      </c>
      <c r="L43" s="27">
        <v>0</v>
      </c>
      <c r="M43" s="27">
        <v>0</v>
      </c>
      <c r="N43" s="27">
        <v>0</v>
      </c>
      <c r="O43" s="27">
        <v>0</v>
      </c>
    </row>
    <row r="44" spans="1:15" ht="15.95" customHeight="1">
      <c r="A44" s="71" t="s">
        <v>486</v>
      </c>
      <c r="B44" s="90">
        <f>SUMIF($J$19:$J$43,1,$B$19:$B$43)</f>
        <v>2389.5</v>
      </c>
      <c r="C44" s="90">
        <f>SUMIF($J$19:$J$43,1,$C$19:$C$43)</f>
        <v>1605.6</v>
      </c>
      <c r="D44" s="90">
        <f>SUMIF($J$19:$J$43,1,$D$19:$D$43)</f>
        <v>1539</v>
      </c>
      <c r="E44" s="90">
        <f t="shared" si="0"/>
        <v>5534.1</v>
      </c>
      <c r="F44" s="38"/>
      <c r="J44" s="27">
        <v>0</v>
      </c>
      <c r="L44" s="27">
        <v>0</v>
      </c>
      <c r="M44" s="27">
        <v>0</v>
      </c>
      <c r="N44" s="27">
        <v>0</v>
      </c>
      <c r="O44" s="27">
        <v>0</v>
      </c>
    </row>
    <row r="45" spans="1:15" ht="15.95" customHeight="1">
      <c r="A45" s="116" t="s">
        <v>419</v>
      </c>
      <c r="B45" s="123">
        <f>ROUNDDOWN(SUMIF($J$6:$J$44,1,$B$6:$B$44),0)</f>
        <v>3067</v>
      </c>
      <c r="C45" s="123">
        <f>ROUNDDOWN(SUMIF($J$6:$J$44,1,$C$6:$C$44),0)</f>
        <v>2311</v>
      </c>
      <c r="D45" s="123">
        <f>ROUNDDOWN(SUMIF($J$6:$J$44,1,$D$6:$D$44),0)</f>
        <v>2310</v>
      </c>
      <c r="E45" s="123">
        <f t="shared" si="0"/>
        <v>7688</v>
      </c>
      <c r="F45" s="67"/>
    </row>
    <row r="46" spans="1:15" s="127" customFormat="1" ht="15.95" customHeight="1">
      <c r="A46" s="125"/>
      <c r="B46" s="126"/>
      <c r="C46" s="126"/>
      <c r="D46" s="126"/>
      <c r="E46" s="126"/>
      <c r="F46" s="126"/>
    </row>
    <row r="47" spans="1:15" s="127" customFormat="1" ht="15.95" customHeight="1">
      <c r="A47" s="125"/>
      <c r="B47" s="126"/>
      <c r="C47" s="126"/>
      <c r="D47" s="126"/>
      <c r="E47" s="126"/>
      <c r="F47" s="126"/>
    </row>
    <row r="48" spans="1:15" s="127" customFormat="1" ht="15.95" customHeight="1">
      <c r="A48" s="125"/>
      <c r="B48" s="126"/>
      <c r="C48" s="126"/>
      <c r="D48" s="126"/>
      <c r="E48" s="126"/>
      <c r="F48" s="126"/>
    </row>
    <row r="49" spans="1:6" s="127" customFormat="1" ht="15.95" customHeight="1">
      <c r="A49" s="125"/>
      <c r="B49" s="126"/>
      <c r="C49" s="126"/>
      <c r="D49" s="126"/>
      <c r="E49" s="126"/>
      <c r="F49" s="126"/>
    </row>
    <row r="50" spans="1:6" s="127" customFormat="1" ht="15.95" customHeight="1">
      <c r="A50" s="125"/>
      <c r="B50" s="126"/>
      <c r="C50" s="126"/>
      <c r="D50" s="126"/>
      <c r="E50" s="126"/>
      <c r="F50" s="126"/>
    </row>
    <row r="51" spans="1:6" s="127" customFormat="1" ht="15.95" customHeight="1">
      <c r="A51" s="125"/>
      <c r="B51" s="126"/>
      <c r="C51" s="126"/>
      <c r="D51" s="126"/>
      <c r="E51" s="126"/>
      <c r="F51" s="126"/>
    </row>
    <row r="52" spans="1:6" s="127" customFormat="1" ht="15.95" customHeight="1">
      <c r="A52" s="125"/>
      <c r="B52" s="126"/>
      <c r="C52" s="126"/>
      <c r="D52" s="126"/>
      <c r="E52" s="126"/>
      <c r="F52" s="126"/>
    </row>
    <row r="53" spans="1:6" s="127" customFormat="1" ht="15.95" customHeight="1">
      <c r="A53" s="125"/>
      <c r="B53" s="126"/>
      <c r="C53" s="126"/>
      <c r="D53" s="126"/>
      <c r="E53" s="126"/>
      <c r="F53" s="126"/>
    </row>
    <row r="54" spans="1:6" s="127" customFormat="1" ht="15.95" customHeight="1">
      <c r="A54" s="125"/>
      <c r="B54" s="126"/>
      <c r="C54" s="126"/>
      <c r="D54" s="126"/>
      <c r="E54" s="126"/>
      <c r="F54" s="126"/>
    </row>
    <row r="55" spans="1:6" s="127" customFormat="1" ht="15.95" customHeight="1">
      <c r="A55" s="125"/>
      <c r="B55" s="126"/>
      <c r="C55" s="126"/>
      <c r="D55" s="126"/>
      <c r="E55" s="126"/>
      <c r="F55" s="126"/>
    </row>
    <row r="56" spans="1:6" s="127" customFormat="1" ht="15.95" customHeight="1">
      <c r="A56" s="125"/>
      <c r="B56" s="126"/>
      <c r="C56" s="126"/>
      <c r="D56" s="126"/>
      <c r="E56" s="126"/>
      <c r="F56" s="126"/>
    </row>
  </sheetData>
  <mergeCells count="4">
    <mergeCell ref="A1:F1"/>
    <mergeCell ref="A2:F2"/>
    <mergeCell ref="A3:A4"/>
    <mergeCell ref="F3:F4"/>
  </mergeCells>
  <phoneticPr fontId="3" type="noConversion"/>
  <pageMargins left="0.74803149606299213" right="0.19685039370078741" top="0.74803149606299213" bottom="0.55118110236220474" header="0.51181102362204722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FFB7"/>
  </sheetPr>
  <dimension ref="A1:R88"/>
  <sheetViews>
    <sheetView view="pageBreakPreview" zoomScale="115" zoomScaleSheetLayoutView="115" workbookViewId="0">
      <selection activeCell="B8" sqref="B8"/>
    </sheetView>
  </sheetViews>
  <sheetFormatPr defaultRowHeight="9.75"/>
  <cols>
    <col min="1" max="2" width="16.625" style="1" customWidth="1"/>
    <col min="3" max="3" width="3.625" style="2" customWidth="1"/>
    <col min="4" max="4" width="5.625" style="3" customWidth="1"/>
    <col min="5" max="5" width="3.625" style="6" customWidth="1"/>
    <col min="6" max="6" width="6.625" style="3" customWidth="1"/>
    <col min="7" max="13" width="9.125" style="3" customWidth="1"/>
    <col min="14" max="14" width="5.75" style="4" customWidth="1"/>
    <col min="15" max="18" width="0" style="1" hidden="1" customWidth="1"/>
    <col min="19" max="16384" width="9" style="1"/>
  </cols>
  <sheetData>
    <row r="1" spans="1:18" ht="30" customHeight="1">
      <c r="A1" s="142" t="s">
        <v>381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</row>
    <row r="2" spans="1:18" ht="16.7" customHeight="1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</row>
    <row r="3" spans="1:18" ht="16.7" customHeight="1">
      <c r="A3" s="160" t="s">
        <v>382</v>
      </c>
      <c r="B3" s="160" t="s">
        <v>383</v>
      </c>
      <c r="C3" s="160" t="s">
        <v>4</v>
      </c>
      <c r="D3" s="75" t="s">
        <v>384</v>
      </c>
      <c r="E3" s="86" t="s">
        <v>385</v>
      </c>
      <c r="F3" s="163" t="s">
        <v>386</v>
      </c>
      <c r="G3" s="160" t="s">
        <v>387</v>
      </c>
      <c r="H3" s="160"/>
      <c r="I3" s="160"/>
      <c r="J3" s="160"/>
      <c r="K3" s="160"/>
      <c r="L3" s="160"/>
      <c r="M3" s="160"/>
      <c r="N3" s="160" t="s">
        <v>388</v>
      </c>
    </row>
    <row r="4" spans="1:18" ht="16.7" customHeight="1">
      <c r="A4" s="161"/>
      <c r="B4" s="161"/>
      <c r="C4" s="161"/>
      <c r="D4" s="73" t="s">
        <v>391</v>
      </c>
      <c r="E4" s="7" t="s">
        <v>392</v>
      </c>
      <c r="F4" s="161"/>
      <c r="G4" s="73" t="s">
        <v>342</v>
      </c>
      <c r="H4" s="73" t="s">
        <v>352</v>
      </c>
      <c r="I4" s="73" t="s">
        <v>355</v>
      </c>
      <c r="J4" s="73" t="s">
        <v>348</v>
      </c>
      <c r="K4" s="73" t="s">
        <v>351</v>
      </c>
      <c r="L4" s="73"/>
      <c r="M4" s="73"/>
      <c r="N4" s="161"/>
    </row>
    <row r="5" spans="1:18" ht="16.7" customHeight="1">
      <c r="A5" s="162"/>
      <c r="B5" s="162"/>
      <c r="C5" s="162"/>
      <c r="D5" s="74" t="s">
        <v>389</v>
      </c>
      <c r="E5" s="8" t="s">
        <v>390</v>
      </c>
      <c r="F5" s="162"/>
      <c r="G5" s="9">
        <v>114481</v>
      </c>
      <c r="H5" s="9">
        <v>87805</v>
      </c>
      <c r="I5" s="9">
        <v>114023</v>
      </c>
      <c r="J5" s="9">
        <v>116622</v>
      </c>
      <c r="K5" s="9">
        <v>101978</v>
      </c>
      <c r="L5" s="74"/>
      <c r="M5" s="74"/>
      <c r="N5" s="162"/>
    </row>
    <row r="6" spans="1:18" ht="16.7" customHeight="1">
      <c r="A6" s="10" t="s">
        <v>393</v>
      </c>
      <c r="B6" s="10"/>
      <c r="C6" s="11"/>
      <c r="D6" s="12"/>
      <c r="E6" s="13"/>
      <c r="F6" s="12"/>
      <c r="G6" s="12"/>
      <c r="H6" s="12"/>
      <c r="I6" s="12"/>
      <c r="J6" s="12"/>
      <c r="K6" s="12"/>
      <c r="L6" s="12"/>
      <c r="M6" s="12"/>
      <c r="N6" s="14"/>
    </row>
    <row r="7" spans="1:18" ht="16.7" customHeight="1">
      <c r="A7" s="15"/>
      <c r="B7" s="15"/>
      <c r="C7" s="16"/>
      <c r="D7" s="17"/>
      <c r="E7" s="18"/>
      <c r="F7" s="19"/>
      <c r="G7" s="17"/>
      <c r="H7" s="17"/>
      <c r="I7" s="17"/>
      <c r="J7" s="17"/>
      <c r="K7" s="17"/>
      <c r="L7" s="17"/>
      <c r="M7" s="17"/>
      <c r="N7" s="20"/>
    </row>
    <row r="8" spans="1:18" ht="16.7" customHeight="1">
      <c r="A8" s="21" t="s">
        <v>394</v>
      </c>
      <c r="B8" s="21" t="s">
        <v>395</v>
      </c>
      <c r="C8" s="22" t="s">
        <v>396</v>
      </c>
      <c r="D8" s="12">
        <v>1</v>
      </c>
      <c r="E8" s="13">
        <v>1</v>
      </c>
      <c r="F8" s="23">
        <f>ROUND(D8*E8,0)</f>
        <v>1</v>
      </c>
      <c r="G8" s="12">
        <v>1</v>
      </c>
      <c r="H8" s="12">
        <v>0.2</v>
      </c>
      <c r="I8" s="12"/>
      <c r="J8" s="12"/>
      <c r="K8" s="12"/>
      <c r="L8" s="12"/>
      <c r="M8" s="12"/>
      <c r="N8" s="24" t="s">
        <v>397</v>
      </c>
    </row>
    <row r="9" spans="1:18" ht="16.7" customHeight="1">
      <c r="A9" s="15"/>
      <c r="B9" s="15"/>
      <c r="C9" s="16"/>
      <c r="D9" s="25" t="s">
        <v>19</v>
      </c>
      <c r="E9" s="18">
        <v>1</v>
      </c>
      <c r="F9" s="19"/>
      <c r="G9" s="17">
        <f>ROUND(D8*1,4)</f>
        <v>1</v>
      </c>
      <c r="H9" s="17">
        <f>ROUND(D8*0.2,4)</f>
        <v>0.2</v>
      </c>
      <c r="I9" s="17"/>
      <c r="J9" s="17"/>
      <c r="K9" s="17"/>
      <c r="L9" s="17"/>
      <c r="M9" s="17"/>
      <c r="N9" s="20"/>
      <c r="R9" s="1">
        <v>1</v>
      </c>
    </row>
    <row r="10" spans="1:18" ht="16.7" customHeight="1">
      <c r="A10" s="21" t="s">
        <v>398</v>
      </c>
      <c r="B10" s="21" t="s">
        <v>399</v>
      </c>
      <c r="C10" s="22" t="s">
        <v>400</v>
      </c>
      <c r="D10" s="12">
        <v>2</v>
      </c>
      <c r="E10" s="13">
        <v>1</v>
      </c>
      <c r="F10" s="23">
        <f>ROUND(D10*E10,0)</f>
        <v>2</v>
      </c>
      <c r="G10" s="12"/>
      <c r="H10" s="12">
        <v>0.2</v>
      </c>
      <c r="I10" s="12">
        <v>0.69399999999999995</v>
      </c>
      <c r="J10" s="12"/>
      <c r="K10" s="12"/>
      <c r="L10" s="12"/>
      <c r="M10" s="12"/>
      <c r="N10" s="24" t="s">
        <v>397</v>
      </c>
    </row>
    <row r="11" spans="1:18" ht="16.7" customHeight="1">
      <c r="A11" s="15"/>
      <c r="B11" s="15"/>
      <c r="C11" s="16"/>
      <c r="D11" s="25" t="s">
        <v>19</v>
      </c>
      <c r="E11" s="18">
        <v>1</v>
      </c>
      <c r="F11" s="19"/>
      <c r="G11" s="17"/>
      <c r="H11" s="17">
        <f>ROUND(D10*0.2,4)</f>
        <v>0.4</v>
      </c>
      <c r="I11" s="17">
        <f>ROUND(D10*0.694,4)</f>
        <v>1.3879999999999999</v>
      </c>
      <c r="J11" s="17"/>
      <c r="K11" s="17"/>
      <c r="L11" s="17"/>
      <c r="M11" s="17"/>
      <c r="N11" s="20"/>
      <c r="R11" s="1">
        <v>1</v>
      </c>
    </row>
    <row r="12" spans="1:18" ht="16.7" customHeight="1">
      <c r="A12" s="21" t="s">
        <v>401</v>
      </c>
      <c r="B12" s="21" t="s">
        <v>402</v>
      </c>
      <c r="C12" s="22" t="s">
        <v>403</v>
      </c>
      <c r="D12" s="12">
        <v>1</v>
      </c>
      <c r="E12" s="13">
        <v>1</v>
      </c>
      <c r="F12" s="23">
        <f>ROUND(D12*E12,0)</f>
        <v>1</v>
      </c>
      <c r="G12" s="12"/>
      <c r="H12" s="12">
        <v>6.5000000000000002E-2</v>
      </c>
      <c r="I12" s="12">
        <v>0.27500000000000002</v>
      </c>
      <c r="J12" s="12"/>
      <c r="K12" s="12"/>
      <c r="L12" s="12"/>
      <c r="M12" s="12"/>
      <c r="N12" s="24" t="s">
        <v>397</v>
      </c>
    </row>
    <row r="13" spans="1:18" ht="16.7" customHeight="1">
      <c r="A13" s="15"/>
      <c r="B13" s="15"/>
      <c r="C13" s="16"/>
      <c r="D13" s="25" t="s">
        <v>19</v>
      </c>
      <c r="E13" s="18">
        <v>1</v>
      </c>
      <c r="F13" s="19"/>
      <c r="G13" s="17"/>
      <c r="H13" s="17">
        <f>ROUND(D12*0.065,4)</f>
        <v>6.5000000000000002E-2</v>
      </c>
      <c r="I13" s="17">
        <f>ROUND(D12*0.275,4)</f>
        <v>0.27500000000000002</v>
      </c>
      <c r="J13" s="17"/>
      <c r="K13" s="17"/>
      <c r="L13" s="17"/>
      <c r="M13" s="17"/>
      <c r="N13" s="20"/>
      <c r="R13" s="1">
        <v>1</v>
      </c>
    </row>
    <row r="14" spans="1:18" ht="16.7" customHeight="1">
      <c r="A14" s="21" t="s">
        <v>401</v>
      </c>
      <c r="B14" s="21" t="s">
        <v>404</v>
      </c>
      <c r="C14" s="22" t="s">
        <v>403</v>
      </c>
      <c r="D14" s="12">
        <v>1</v>
      </c>
      <c r="E14" s="13">
        <v>1</v>
      </c>
      <c r="F14" s="23">
        <f>ROUND(D14*E14,0)</f>
        <v>1</v>
      </c>
      <c r="G14" s="12"/>
      <c r="H14" s="12">
        <v>6.5000000000000002E-2</v>
      </c>
      <c r="I14" s="12">
        <v>0.27500000000000002</v>
      </c>
      <c r="J14" s="12"/>
      <c r="K14" s="12"/>
      <c r="L14" s="12"/>
      <c r="M14" s="12"/>
      <c r="N14" s="24" t="s">
        <v>397</v>
      </c>
    </row>
    <row r="15" spans="1:18" ht="16.7" customHeight="1">
      <c r="A15" s="15"/>
      <c r="B15" s="15"/>
      <c r="C15" s="16"/>
      <c r="D15" s="25" t="s">
        <v>19</v>
      </c>
      <c r="E15" s="18">
        <v>1</v>
      </c>
      <c r="F15" s="19"/>
      <c r="G15" s="17"/>
      <c r="H15" s="17">
        <f>ROUND(D14*0.065,4)</f>
        <v>6.5000000000000002E-2</v>
      </c>
      <c r="I15" s="17">
        <f>ROUND(D14*0.275,4)</f>
        <v>0.27500000000000002</v>
      </c>
      <c r="J15" s="17"/>
      <c r="K15" s="17"/>
      <c r="L15" s="17"/>
      <c r="M15" s="17"/>
      <c r="N15" s="20"/>
      <c r="R15" s="1">
        <v>1</v>
      </c>
    </row>
    <row r="16" spans="1:18" ht="16.7" customHeight="1">
      <c r="A16" s="21" t="s">
        <v>405</v>
      </c>
      <c r="B16" s="21" t="s">
        <v>406</v>
      </c>
      <c r="C16" s="22" t="s">
        <v>400</v>
      </c>
      <c r="D16" s="12">
        <v>1</v>
      </c>
      <c r="E16" s="13">
        <v>1</v>
      </c>
      <c r="F16" s="23">
        <f>ROUND(D16*E16,0)</f>
        <v>1</v>
      </c>
      <c r="G16" s="12"/>
      <c r="H16" s="12">
        <v>2.8000000000000001E-2</v>
      </c>
      <c r="I16" s="12">
        <v>0.13900000000000001</v>
      </c>
      <c r="J16" s="12"/>
      <c r="K16" s="12"/>
      <c r="L16" s="12"/>
      <c r="M16" s="12"/>
      <c r="N16" s="24" t="s">
        <v>397</v>
      </c>
    </row>
    <row r="17" spans="1:18" ht="16.7" customHeight="1">
      <c r="A17" s="15"/>
      <c r="B17" s="15"/>
      <c r="C17" s="16"/>
      <c r="D17" s="25" t="s">
        <v>19</v>
      </c>
      <c r="E17" s="18">
        <v>1</v>
      </c>
      <c r="F17" s="19"/>
      <c r="G17" s="17"/>
      <c r="H17" s="17">
        <f>ROUND(D16*0.028,4)</f>
        <v>2.8000000000000001E-2</v>
      </c>
      <c r="I17" s="17">
        <f>ROUND(D16*0.139,4)</f>
        <v>0.13900000000000001</v>
      </c>
      <c r="J17" s="17"/>
      <c r="K17" s="17"/>
      <c r="L17" s="17"/>
      <c r="M17" s="17"/>
      <c r="N17" s="20"/>
      <c r="R17" s="1">
        <v>1</v>
      </c>
    </row>
    <row r="18" spans="1:18" ht="16.7" customHeight="1">
      <c r="A18" s="21" t="s">
        <v>407</v>
      </c>
      <c r="B18" s="21" t="s">
        <v>408</v>
      </c>
      <c r="C18" s="22" t="s">
        <v>400</v>
      </c>
      <c r="D18" s="12">
        <v>1</v>
      </c>
      <c r="E18" s="13">
        <v>1</v>
      </c>
      <c r="F18" s="23">
        <f>ROUND(D18*E18,0)</f>
        <v>1</v>
      </c>
      <c r="G18" s="12"/>
      <c r="H18" s="12">
        <v>2.8000000000000001E-2</v>
      </c>
      <c r="I18" s="12">
        <v>0.13900000000000001</v>
      </c>
      <c r="J18" s="12"/>
      <c r="K18" s="12"/>
      <c r="L18" s="12"/>
      <c r="M18" s="12"/>
      <c r="N18" s="24" t="s">
        <v>397</v>
      </c>
    </row>
    <row r="19" spans="1:18" ht="16.7" customHeight="1">
      <c r="A19" s="15"/>
      <c r="B19" s="15"/>
      <c r="C19" s="16"/>
      <c r="D19" s="25" t="s">
        <v>19</v>
      </c>
      <c r="E19" s="18">
        <v>1</v>
      </c>
      <c r="F19" s="19"/>
      <c r="G19" s="17"/>
      <c r="H19" s="17">
        <f>ROUND(D18*0.028,4)</f>
        <v>2.8000000000000001E-2</v>
      </c>
      <c r="I19" s="17">
        <f>ROUND(D18*0.139,4)</f>
        <v>0.13900000000000001</v>
      </c>
      <c r="J19" s="17"/>
      <c r="K19" s="17"/>
      <c r="L19" s="17"/>
      <c r="M19" s="17"/>
      <c r="N19" s="20"/>
      <c r="R19" s="1">
        <v>1</v>
      </c>
    </row>
    <row r="20" spans="1:18" ht="16.7" customHeight="1">
      <c r="A20" s="21" t="s">
        <v>409</v>
      </c>
      <c r="B20" s="21" t="s">
        <v>410</v>
      </c>
      <c r="C20" s="22" t="s">
        <v>400</v>
      </c>
      <c r="D20" s="12">
        <v>1</v>
      </c>
      <c r="E20" s="13">
        <v>1</v>
      </c>
      <c r="F20" s="23">
        <f>ROUND(D20*E20,0)</f>
        <v>1</v>
      </c>
      <c r="G20" s="12"/>
      <c r="H20" s="12">
        <v>0.2</v>
      </c>
      <c r="I20" s="12">
        <v>1</v>
      </c>
      <c r="J20" s="12"/>
      <c r="K20" s="12"/>
      <c r="L20" s="12"/>
      <c r="M20" s="12"/>
      <c r="N20" s="24" t="s">
        <v>397</v>
      </c>
    </row>
    <row r="21" spans="1:18" ht="16.7" customHeight="1">
      <c r="A21" s="15"/>
      <c r="B21" s="15"/>
      <c r="C21" s="16"/>
      <c r="D21" s="25" t="s">
        <v>19</v>
      </c>
      <c r="E21" s="18">
        <v>1</v>
      </c>
      <c r="F21" s="19"/>
      <c r="G21" s="17"/>
      <c r="H21" s="17">
        <f>ROUND(D20*0.2,4)</f>
        <v>0.2</v>
      </c>
      <c r="I21" s="17">
        <f>ROUND(D20*1,4)</f>
        <v>1</v>
      </c>
      <c r="J21" s="17"/>
      <c r="K21" s="17"/>
      <c r="L21" s="17"/>
      <c r="M21" s="17"/>
      <c r="N21" s="20"/>
      <c r="R21" s="1">
        <v>1</v>
      </c>
    </row>
    <row r="22" spans="1:18" ht="16.7" customHeight="1">
      <c r="A22" s="21" t="s">
        <v>411</v>
      </c>
      <c r="B22" s="21" t="s">
        <v>412</v>
      </c>
      <c r="C22" s="22" t="s">
        <v>400</v>
      </c>
      <c r="D22" s="12">
        <v>2</v>
      </c>
      <c r="E22" s="13">
        <v>1</v>
      </c>
      <c r="F22" s="23">
        <f>ROUND(D22*E22,0)</f>
        <v>2</v>
      </c>
      <c r="G22" s="12"/>
      <c r="H22" s="12">
        <v>3.3000000000000002E-2</v>
      </c>
      <c r="I22" s="12">
        <v>0.16400000000000001</v>
      </c>
      <c r="J22" s="12"/>
      <c r="K22" s="12"/>
      <c r="L22" s="12"/>
      <c r="M22" s="12"/>
      <c r="N22" s="24" t="s">
        <v>397</v>
      </c>
    </row>
    <row r="23" spans="1:18" ht="16.7" customHeight="1">
      <c r="A23" s="15"/>
      <c r="B23" s="15"/>
      <c r="C23" s="16"/>
      <c r="D23" s="25" t="s">
        <v>19</v>
      </c>
      <c r="E23" s="18">
        <v>1</v>
      </c>
      <c r="F23" s="19"/>
      <c r="G23" s="17"/>
      <c r="H23" s="17">
        <f>ROUND(D22*0.033,4)</f>
        <v>6.6000000000000003E-2</v>
      </c>
      <c r="I23" s="17">
        <f>ROUND(D22*0.164,4)</f>
        <v>0.32800000000000001</v>
      </c>
      <c r="J23" s="17"/>
      <c r="K23" s="17"/>
      <c r="L23" s="17"/>
      <c r="M23" s="17"/>
      <c r="N23" s="20"/>
      <c r="R23" s="1">
        <v>1</v>
      </c>
    </row>
    <row r="24" spans="1:18" ht="16.7" customHeight="1">
      <c r="A24" s="21" t="s">
        <v>413</v>
      </c>
      <c r="B24" s="21" t="s">
        <v>414</v>
      </c>
      <c r="C24" s="22" t="s">
        <v>400</v>
      </c>
      <c r="D24" s="12">
        <v>2</v>
      </c>
      <c r="E24" s="13">
        <v>1</v>
      </c>
      <c r="F24" s="23">
        <f>ROUND(D24*E24,0)</f>
        <v>2</v>
      </c>
      <c r="G24" s="12"/>
      <c r="H24" s="12"/>
      <c r="I24" s="12">
        <v>0.22900000000000001</v>
      </c>
      <c r="J24" s="12"/>
      <c r="K24" s="12"/>
      <c r="L24" s="12"/>
      <c r="M24" s="12"/>
      <c r="N24" s="24" t="s">
        <v>397</v>
      </c>
    </row>
    <row r="25" spans="1:18" ht="16.7" customHeight="1">
      <c r="A25" s="15"/>
      <c r="B25" s="15"/>
      <c r="C25" s="16"/>
      <c r="D25" s="25" t="s">
        <v>19</v>
      </c>
      <c r="E25" s="18">
        <v>1</v>
      </c>
      <c r="F25" s="19"/>
      <c r="G25" s="17"/>
      <c r="H25" s="17"/>
      <c r="I25" s="17">
        <f>ROUND(D24*0.229,4)</f>
        <v>0.45800000000000002</v>
      </c>
      <c r="J25" s="17"/>
      <c r="K25" s="17"/>
      <c r="L25" s="17"/>
      <c r="M25" s="17"/>
      <c r="N25" s="20"/>
      <c r="R25" s="1">
        <v>1</v>
      </c>
    </row>
    <row r="26" spans="1:18" ht="16.7" customHeight="1">
      <c r="A26" s="21" t="s">
        <v>415</v>
      </c>
      <c r="B26" s="21" t="s">
        <v>416</v>
      </c>
      <c r="C26" s="22" t="s">
        <v>400</v>
      </c>
      <c r="D26" s="12">
        <v>2</v>
      </c>
      <c r="E26" s="13">
        <v>1</v>
      </c>
      <c r="F26" s="23">
        <f>ROUND(D26*E26,0)</f>
        <v>2</v>
      </c>
      <c r="G26" s="12"/>
      <c r="H26" s="12"/>
      <c r="I26" s="12">
        <v>7.0999999999999994E-2</v>
      </c>
      <c r="J26" s="12"/>
      <c r="K26" s="12"/>
      <c r="L26" s="12"/>
      <c r="M26" s="12"/>
      <c r="N26" s="24" t="s">
        <v>397</v>
      </c>
    </row>
    <row r="27" spans="1:18" ht="16.7" customHeight="1">
      <c r="A27" s="15"/>
      <c r="B27" s="15"/>
      <c r="C27" s="16"/>
      <c r="D27" s="25" t="s">
        <v>19</v>
      </c>
      <c r="E27" s="18">
        <v>1</v>
      </c>
      <c r="F27" s="19"/>
      <c r="G27" s="17"/>
      <c r="H27" s="17"/>
      <c r="I27" s="17">
        <f>ROUND(D26*0.071,4)</f>
        <v>0.14199999999999999</v>
      </c>
      <c r="J27" s="17"/>
      <c r="K27" s="17"/>
      <c r="L27" s="17"/>
      <c r="M27" s="17"/>
      <c r="N27" s="20"/>
      <c r="R27" s="1">
        <v>1</v>
      </c>
    </row>
    <row r="28" spans="1:18" ht="16.7" customHeight="1">
      <c r="A28" s="21" t="s">
        <v>415</v>
      </c>
      <c r="B28" s="21" t="s">
        <v>417</v>
      </c>
      <c r="C28" s="22" t="s">
        <v>400</v>
      </c>
      <c r="D28" s="12">
        <v>2</v>
      </c>
      <c r="E28" s="13">
        <v>1</v>
      </c>
      <c r="F28" s="23">
        <f>ROUND(D28*E28,0)</f>
        <v>2</v>
      </c>
      <c r="G28" s="12"/>
      <c r="H28" s="12"/>
      <c r="I28" s="12">
        <v>7.0999999999999994E-2</v>
      </c>
      <c r="J28" s="12"/>
      <c r="K28" s="12"/>
      <c r="L28" s="12"/>
      <c r="M28" s="12"/>
      <c r="N28" s="24" t="s">
        <v>397</v>
      </c>
    </row>
    <row r="29" spans="1:18" ht="16.7" customHeight="1">
      <c r="A29" s="15"/>
      <c r="B29" s="15"/>
      <c r="C29" s="16"/>
      <c r="D29" s="25" t="s">
        <v>19</v>
      </c>
      <c r="E29" s="18">
        <v>1</v>
      </c>
      <c r="F29" s="19"/>
      <c r="G29" s="17"/>
      <c r="H29" s="17"/>
      <c r="I29" s="17">
        <f>ROUND(D28*0.071,4)</f>
        <v>0.14199999999999999</v>
      </c>
      <c r="J29" s="17"/>
      <c r="K29" s="17"/>
      <c r="L29" s="17"/>
      <c r="M29" s="17"/>
      <c r="N29" s="20"/>
      <c r="R29" s="1">
        <v>1</v>
      </c>
    </row>
    <row r="30" spans="1:18" ht="16.7" customHeight="1">
      <c r="A30" s="21" t="s">
        <v>415</v>
      </c>
      <c r="B30" s="21" t="s">
        <v>418</v>
      </c>
      <c r="C30" s="22" t="s">
        <v>400</v>
      </c>
      <c r="D30" s="12">
        <v>2</v>
      </c>
      <c r="E30" s="13">
        <v>1</v>
      </c>
      <c r="F30" s="23">
        <f>ROUND(D30*E30,0)</f>
        <v>2</v>
      </c>
      <c r="G30" s="12"/>
      <c r="H30" s="12"/>
      <c r="I30" s="12">
        <v>9.9000000000000005E-2</v>
      </c>
      <c r="J30" s="12"/>
      <c r="K30" s="12"/>
      <c r="L30" s="12"/>
      <c r="M30" s="12"/>
      <c r="N30" s="24" t="s">
        <v>397</v>
      </c>
    </row>
    <row r="31" spans="1:18" ht="16.7" customHeight="1">
      <c r="A31" s="15"/>
      <c r="B31" s="15"/>
      <c r="C31" s="16"/>
      <c r="D31" s="25" t="s">
        <v>19</v>
      </c>
      <c r="E31" s="18">
        <v>1</v>
      </c>
      <c r="F31" s="19"/>
      <c r="G31" s="17"/>
      <c r="H31" s="17"/>
      <c r="I31" s="17">
        <f>ROUND(D30*0.099,4)</f>
        <v>0.19800000000000001</v>
      </c>
      <c r="J31" s="17"/>
      <c r="K31" s="17"/>
      <c r="L31" s="17"/>
      <c r="M31" s="17"/>
      <c r="N31" s="20"/>
      <c r="R31" s="1">
        <v>1</v>
      </c>
    </row>
    <row r="32" spans="1:18" ht="16.7" customHeight="1">
      <c r="A32" s="10"/>
      <c r="B32" s="10"/>
      <c r="C32" s="11"/>
      <c r="D32" s="12"/>
      <c r="E32" s="13"/>
      <c r="F32" s="23"/>
      <c r="G32" s="12"/>
      <c r="H32" s="12"/>
      <c r="I32" s="12"/>
      <c r="J32" s="12"/>
      <c r="K32" s="12"/>
      <c r="L32" s="12"/>
      <c r="M32" s="12"/>
      <c r="N32" s="14"/>
    </row>
    <row r="33" spans="1:18" ht="16.7" customHeight="1">
      <c r="A33" s="15"/>
      <c r="B33" s="15"/>
      <c r="C33" s="16"/>
      <c r="D33" s="17"/>
      <c r="E33" s="18"/>
      <c r="F33" s="19"/>
      <c r="G33" s="17"/>
      <c r="H33" s="17"/>
      <c r="I33" s="17"/>
      <c r="J33" s="17"/>
      <c r="K33" s="17"/>
      <c r="L33" s="17"/>
      <c r="M33" s="17"/>
      <c r="N33" s="20"/>
    </row>
    <row r="34" spans="1:18" ht="16.7" customHeight="1">
      <c r="A34" s="10"/>
      <c r="B34" s="10"/>
      <c r="C34" s="11"/>
      <c r="D34" s="12"/>
      <c r="E34" s="13"/>
      <c r="F34" s="23"/>
      <c r="G34" s="12"/>
      <c r="H34" s="12"/>
      <c r="I34" s="12"/>
      <c r="J34" s="12"/>
      <c r="K34" s="12"/>
      <c r="L34" s="12"/>
      <c r="M34" s="12"/>
      <c r="N34" s="14"/>
    </row>
    <row r="35" spans="1:18" ht="16.7" customHeight="1">
      <c r="A35" s="15"/>
      <c r="B35" s="15"/>
      <c r="C35" s="16"/>
      <c r="D35" s="17"/>
      <c r="E35" s="18"/>
      <c r="F35" s="19"/>
      <c r="G35" s="17"/>
      <c r="H35" s="17"/>
      <c r="I35" s="17"/>
      <c r="J35" s="17"/>
      <c r="K35" s="17"/>
      <c r="L35" s="17"/>
      <c r="M35" s="17"/>
      <c r="N35" s="20"/>
    </row>
    <row r="36" spans="1:18" ht="16.7" customHeight="1">
      <c r="A36" s="10"/>
      <c r="B36" s="10"/>
      <c r="C36" s="11"/>
      <c r="D36" s="12"/>
      <c r="E36" s="13"/>
      <c r="F36" s="23"/>
      <c r="G36" s="12"/>
      <c r="H36" s="12"/>
      <c r="I36" s="12"/>
      <c r="J36" s="12"/>
      <c r="K36" s="12"/>
      <c r="L36" s="12"/>
      <c r="M36" s="12"/>
      <c r="N36" s="14"/>
    </row>
    <row r="37" spans="1:18" ht="16.7" customHeight="1">
      <c r="A37" s="15"/>
      <c r="B37" s="15"/>
      <c r="C37" s="16"/>
      <c r="D37" s="17"/>
      <c r="E37" s="18"/>
      <c r="F37" s="19"/>
      <c r="G37" s="17"/>
      <c r="H37" s="17"/>
      <c r="I37" s="17"/>
      <c r="J37" s="17"/>
      <c r="K37" s="17"/>
      <c r="L37" s="17"/>
      <c r="M37" s="17"/>
      <c r="N37" s="20"/>
    </row>
    <row r="38" spans="1:18" ht="16.7" customHeight="1">
      <c r="A38" s="10"/>
      <c r="B38" s="10"/>
      <c r="C38" s="11"/>
      <c r="D38" s="12"/>
      <c r="E38" s="13"/>
      <c r="F38" s="23"/>
      <c r="G38" s="12"/>
      <c r="H38" s="12"/>
      <c r="I38" s="12"/>
      <c r="J38" s="12"/>
      <c r="K38" s="12"/>
      <c r="L38" s="12"/>
      <c r="M38" s="12"/>
      <c r="N38" s="14"/>
    </row>
    <row r="39" spans="1:18" ht="16.7" customHeight="1">
      <c r="A39" s="15"/>
      <c r="B39" s="15"/>
      <c r="C39" s="16"/>
      <c r="D39" s="17"/>
      <c r="E39" s="18"/>
      <c r="F39" s="19"/>
      <c r="G39" s="17"/>
      <c r="H39" s="17"/>
      <c r="I39" s="17"/>
      <c r="J39" s="17"/>
      <c r="K39" s="17"/>
      <c r="L39" s="17"/>
      <c r="M39" s="17"/>
      <c r="N39" s="20"/>
    </row>
    <row r="40" spans="1:18" ht="16.7" customHeight="1">
      <c r="A40" s="10"/>
      <c r="B40" s="10"/>
      <c r="C40" s="11"/>
      <c r="D40" s="12"/>
      <c r="E40" s="13"/>
      <c r="F40" s="23"/>
      <c r="G40" s="12">
        <f>SUMIF(R6:R39,1,G6:G39)</f>
        <v>1</v>
      </c>
      <c r="H40" s="12">
        <f>SUMIF(R6:R39,1,H6:H39)</f>
        <v>1.052</v>
      </c>
      <c r="I40" s="12">
        <f>SUMIF(R6:R39,1,I6:I39)</f>
        <v>4.4840000000000009</v>
      </c>
      <c r="J40" s="12"/>
      <c r="K40" s="12"/>
      <c r="L40" s="12"/>
      <c r="M40" s="12"/>
      <c r="N40" s="14"/>
    </row>
    <row r="41" spans="1:18" ht="16.7" customHeight="1">
      <c r="A41" s="26" t="s">
        <v>419</v>
      </c>
      <c r="B41" s="15"/>
      <c r="C41" s="16"/>
      <c r="D41" s="17"/>
      <c r="E41" s="18"/>
      <c r="F41" s="19"/>
      <c r="G41" s="17">
        <f>ROUND(SUMIF(R6:R39,1,G6:G39),1)</f>
        <v>1</v>
      </c>
      <c r="H41" s="17">
        <f>ROUND(SUMIF(R6:R39,1,H6:H39),1)</f>
        <v>1.1000000000000001</v>
      </c>
      <c r="I41" s="17">
        <f>ROUND(SUMIF(R6:R39,1,I6:I39),1)</f>
        <v>4.5</v>
      </c>
      <c r="J41" s="17"/>
      <c r="K41" s="17"/>
      <c r="L41" s="17"/>
      <c r="M41" s="17"/>
      <c r="N41" s="20"/>
    </row>
    <row r="42" spans="1:18" ht="16.7" customHeight="1">
      <c r="A42" s="10" t="s">
        <v>420</v>
      </c>
      <c r="B42" s="10"/>
      <c r="C42" s="11"/>
      <c r="D42" s="12"/>
      <c r="E42" s="13"/>
      <c r="F42" s="23"/>
      <c r="G42" s="12"/>
      <c r="H42" s="12"/>
      <c r="I42" s="12"/>
      <c r="J42" s="12"/>
      <c r="K42" s="12"/>
      <c r="L42" s="12"/>
      <c r="M42" s="12"/>
      <c r="N42" s="14"/>
    </row>
    <row r="43" spans="1:18" ht="16.7" customHeight="1">
      <c r="A43" s="15"/>
      <c r="B43" s="15"/>
      <c r="C43" s="16"/>
      <c r="D43" s="17"/>
      <c r="E43" s="18"/>
      <c r="F43" s="19"/>
      <c r="G43" s="17"/>
      <c r="H43" s="17"/>
      <c r="I43" s="17"/>
      <c r="J43" s="17"/>
      <c r="K43" s="17"/>
      <c r="L43" s="17"/>
      <c r="M43" s="17"/>
      <c r="N43" s="20"/>
    </row>
    <row r="44" spans="1:18" ht="16.7" customHeight="1">
      <c r="A44" s="21" t="s">
        <v>421</v>
      </c>
      <c r="B44" s="21" t="s">
        <v>422</v>
      </c>
      <c r="C44" s="22" t="s">
        <v>423</v>
      </c>
      <c r="D44" s="12">
        <v>140</v>
      </c>
      <c r="E44" s="13">
        <v>1.1000000000000001</v>
      </c>
      <c r="F44" s="23">
        <f>ROUND(D44*E44,0)</f>
        <v>154</v>
      </c>
      <c r="G44" s="12"/>
      <c r="H44" s="12">
        <v>1.7000000000000001E-2</v>
      </c>
      <c r="I44" s="12"/>
      <c r="J44" s="12">
        <v>3.3000000000000002E-2</v>
      </c>
      <c r="K44" s="12"/>
      <c r="L44" s="12"/>
      <c r="M44" s="12"/>
      <c r="N44" s="24" t="s">
        <v>397</v>
      </c>
    </row>
    <row r="45" spans="1:18" ht="16.7" customHeight="1">
      <c r="A45" s="15"/>
      <c r="B45" s="15"/>
      <c r="C45" s="16"/>
      <c r="D45" s="25" t="s">
        <v>19</v>
      </c>
      <c r="E45" s="18">
        <v>1</v>
      </c>
      <c r="F45" s="19"/>
      <c r="G45" s="17"/>
      <c r="H45" s="17">
        <f>ROUND(D44*0.017,4)</f>
        <v>2.38</v>
      </c>
      <c r="I45" s="17"/>
      <c r="J45" s="17">
        <f>ROUND(D44*0.033,4)</f>
        <v>4.62</v>
      </c>
      <c r="K45" s="17"/>
      <c r="L45" s="17"/>
      <c r="M45" s="17"/>
      <c r="N45" s="20"/>
      <c r="R45" s="1">
        <v>1</v>
      </c>
    </row>
    <row r="46" spans="1:18" ht="16.7" customHeight="1">
      <c r="A46" s="21" t="s">
        <v>424</v>
      </c>
      <c r="B46" s="21" t="s">
        <v>425</v>
      </c>
      <c r="C46" s="22" t="s">
        <v>400</v>
      </c>
      <c r="D46" s="12">
        <v>12</v>
      </c>
      <c r="E46" s="13">
        <v>1</v>
      </c>
      <c r="F46" s="23">
        <f>ROUND(D46*E46,0)</f>
        <v>12</v>
      </c>
      <c r="G46" s="12"/>
      <c r="H46" s="12"/>
      <c r="I46" s="12"/>
      <c r="J46" s="12">
        <v>0.05</v>
      </c>
      <c r="K46" s="12"/>
      <c r="L46" s="12"/>
      <c r="M46" s="12"/>
      <c r="N46" s="24" t="s">
        <v>397</v>
      </c>
    </row>
    <row r="47" spans="1:18" ht="16.7" customHeight="1">
      <c r="A47" s="15"/>
      <c r="B47" s="15"/>
      <c r="C47" s="16"/>
      <c r="D47" s="25" t="s">
        <v>19</v>
      </c>
      <c r="E47" s="18">
        <v>1</v>
      </c>
      <c r="F47" s="19"/>
      <c r="G47" s="17"/>
      <c r="H47" s="17"/>
      <c r="I47" s="17"/>
      <c r="J47" s="17">
        <f>ROUND(D46*0.05,4)</f>
        <v>0.6</v>
      </c>
      <c r="K47" s="17"/>
      <c r="L47" s="17"/>
      <c r="M47" s="17"/>
      <c r="N47" s="20"/>
      <c r="R47" s="1">
        <v>1</v>
      </c>
    </row>
    <row r="48" spans="1:18" ht="16.7" customHeight="1">
      <c r="A48" s="21" t="s">
        <v>426</v>
      </c>
      <c r="B48" s="21" t="s">
        <v>422</v>
      </c>
      <c r="C48" s="22" t="s">
        <v>400</v>
      </c>
      <c r="D48" s="12">
        <v>10</v>
      </c>
      <c r="E48" s="13">
        <v>1</v>
      </c>
      <c r="F48" s="23">
        <f>ROUND(D48*E48,0)</f>
        <v>10</v>
      </c>
      <c r="G48" s="12"/>
      <c r="H48" s="12"/>
      <c r="I48" s="12"/>
      <c r="J48" s="12">
        <v>0.05</v>
      </c>
      <c r="K48" s="12"/>
      <c r="L48" s="12"/>
      <c r="M48" s="12"/>
      <c r="N48" s="24" t="s">
        <v>397</v>
      </c>
    </row>
    <row r="49" spans="1:18" ht="16.7" customHeight="1">
      <c r="A49" s="15"/>
      <c r="B49" s="15"/>
      <c r="C49" s="16"/>
      <c r="D49" s="25" t="s">
        <v>19</v>
      </c>
      <c r="E49" s="18">
        <v>1</v>
      </c>
      <c r="F49" s="19"/>
      <c r="G49" s="17"/>
      <c r="H49" s="17"/>
      <c r="I49" s="17"/>
      <c r="J49" s="17">
        <f>ROUND(D48*0.05,4)</f>
        <v>0.5</v>
      </c>
      <c r="K49" s="17"/>
      <c r="L49" s="17"/>
      <c r="M49" s="17"/>
      <c r="N49" s="20"/>
      <c r="R49" s="1">
        <v>1</v>
      </c>
    </row>
    <row r="50" spans="1:18" ht="16.7" customHeight="1">
      <c r="A50" s="21" t="s">
        <v>427</v>
      </c>
      <c r="B50" s="21" t="s">
        <v>422</v>
      </c>
      <c r="C50" s="22" t="s">
        <v>423</v>
      </c>
      <c r="D50" s="12">
        <v>140</v>
      </c>
      <c r="E50" s="13">
        <v>1</v>
      </c>
      <c r="F50" s="23">
        <f>ROUND(D50*E50,0)</f>
        <v>140</v>
      </c>
      <c r="G50" s="12"/>
      <c r="H50" s="12">
        <v>1.9E-3</v>
      </c>
      <c r="I50" s="12"/>
      <c r="J50" s="12"/>
      <c r="K50" s="12">
        <v>2.6599999999999999E-2</v>
      </c>
      <c r="L50" s="12"/>
      <c r="M50" s="12"/>
      <c r="N50" s="24" t="s">
        <v>397</v>
      </c>
    </row>
    <row r="51" spans="1:18" ht="16.7" customHeight="1">
      <c r="A51" s="15"/>
      <c r="B51" s="15"/>
      <c r="C51" s="16"/>
      <c r="D51" s="25" t="s">
        <v>19</v>
      </c>
      <c r="E51" s="18">
        <v>1</v>
      </c>
      <c r="F51" s="19"/>
      <c r="G51" s="17"/>
      <c r="H51" s="17">
        <f>ROUND(D50*0.0019,4)</f>
        <v>0.26600000000000001</v>
      </c>
      <c r="I51" s="17"/>
      <c r="J51" s="17"/>
      <c r="K51" s="17">
        <f>ROUND(D50*0.0266,4)</f>
        <v>3.7240000000000002</v>
      </c>
      <c r="L51" s="17"/>
      <c r="M51" s="17"/>
      <c r="N51" s="20"/>
      <c r="R51" s="1">
        <v>1</v>
      </c>
    </row>
    <row r="52" spans="1:18" ht="16.7" customHeight="1">
      <c r="A52" s="10"/>
      <c r="B52" s="10"/>
      <c r="C52" s="11"/>
      <c r="D52" s="12"/>
      <c r="E52" s="13"/>
      <c r="F52" s="23"/>
      <c r="G52" s="12"/>
      <c r="H52" s="12"/>
      <c r="I52" s="12"/>
      <c r="J52" s="12"/>
      <c r="K52" s="12"/>
      <c r="L52" s="12"/>
      <c r="M52" s="12"/>
      <c r="N52" s="14"/>
    </row>
    <row r="53" spans="1:18" ht="16.7" customHeight="1">
      <c r="A53" s="15"/>
      <c r="B53" s="15"/>
      <c r="C53" s="16"/>
      <c r="D53" s="17"/>
      <c r="E53" s="18"/>
      <c r="F53" s="19"/>
      <c r="G53" s="17"/>
      <c r="H53" s="17"/>
      <c r="I53" s="17"/>
      <c r="J53" s="17"/>
      <c r="K53" s="17"/>
      <c r="L53" s="17"/>
      <c r="M53" s="17"/>
      <c r="N53" s="20"/>
    </row>
    <row r="54" spans="1:18" ht="16.7" customHeight="1">
      <c r="A54" s="10"/>
      <c r="B54" s="10"/>
      <c r="C54" s="11"/>
      <c r="D54" s="12"/>
      <c r="E54" s="13"/>
      <c r="F54" s="23"/>
      <c r="G54" s="12"/>
      <c r="H54" s="12"/>
      <c r="I54" s="12"/>
      <c r="J54" s="12"/>
      <c r="K54" s="12"/>
      <c r="L54" s="12"/>
      <c r="M54" s="12"/>
      <c r="N54" s="14"/>
    </row>
    <row r="55" spans="1:18" ht="16.7" customHeight="1">
      <c r="A55" s="15"/>
      <c r="B55" s="15"/>
      <c r="C55" s="16"/>
      <c r="D55" s="17"/>
      <c r="E55" s="18"/>
      <c r="F55" s="19"/>
      <c r="G55" s="17"/>
      <c r="H55" s="17"/>
      <c r="I55" s="17"/>
      <c r="J55" s="17"/>
      <c r="K55" s="17"/>
      <c r="L55" s="17"/>
      <c r="M55" s="17"/>
      <c r="N55" s="20"/>
    </row>
    <row r="56" spans="1:18" ht="16.7" customHeight="1">
      <c r="A56" s="10"/>
      <c r="B56" s="10"/>
      <c r="C56" s="11"/>
      <c r="D56" s="12"/>
      <c r="E56" s="13"/>
      <c r="F56" s="23"/>
      <c r="G56" s="12"/>
      <c r="H56" s="12"/>
      <c r="I56" s="12"/>
      <c r="J56" s="12"/>
      <c r="K56" s="12"/>
      <c r="L56" s="12"/>
      <c r="M56" s="12"/>
      <c r="N56" s="14"/>
    </row>
    <row r="57" spans="1:18" ht="16.7" customHeight="1">
      <c r="A57" s="15"/>
      <c r="B57" s="15"/>
      <c r="C57" s="16"/>
      <c r="D57" s="17"/>
      <c r="E57" s="18"/>
      <c r="F57" s="19"/>
      <c r="G57" s="17"/>
      <c r="H57" s="17"/>
      <c r="I57" s="17"/>
      <c r="J57" s="17"/>
      <c r="K57" s="17"/>
      <c r="L57" s="17"/>
      <c r="M57" s="17"/>
      <c r="N57" s="20"/>
    </row>
    <row r="58" spans="1:18" ht="16.7" customHeight="1">
      <c r="A58" s="10"/>
      <c r="B58" s="10"/>
      <c r="C58" s="11"/>
      <c r="D58" s="12"/>
      <c r="E58" s="13"/>
      <c r="F58" s="23"/>
      <c r="G58" s="12"/>
      <c r="H58" s="12">
        <f>SUMIF(R42:R57,1,H42:H57)</f>
        <v>2.6459999999999999</v>
      </c>
      <c r="I58" s="12"/>
      <c r="J58" s="12">
        <f>SUMIF(R42:R57,1,J42:J57)</f>
        <v>5.72</v>
      </c>
      <c r="K58" s="12">
        <f>SUMIF(R42:R57,1,K42:K57)</f>
        <v>3.7240000000000002</v>
      </c>
      <c r="L58" s="12"/>
      <c r="M58" s="12"/>
      <c r="N58" s="14"/>
    </row>
    <row r="59" spans="1:18" ht="16.7" customHeight="1">
      <c r="A59" s="26" t="s">
        <v>419</v>
      </c>
      <c r="B59" s="15"/>
      <c r="C59" s="16"/>
      <c r="D59" s="17"/>
      <c r="E59" s="18"/>
      <c r="F59" s="19"/>
      <c r="G59" s="17"/>
      <c r="H59" s="17">
        <f>ROUND(SUMIF(R42:R57,1,H42:H57),1)</f>
        <v>2.6</v>
      </c>
      <c r="I59" s="17"/>
      <c r="J59" s="17">
        <f>ROUND(SUMIF(R42:R57,1,J42:J57),1)</f>
        <v>5.7</v>
      </c>
      <c r="K59" s="17">
        <f>ROUND(SUMIF(R42:R57,1,K42:K57),1)</f>
        <v>3.7</v>
      </c>
      <c r="L59" s="17"/>
      <c r="M59" s="17"/>
      <c r="N59" s="20"/>
    </row>
    <row r="60" spans="1:18" ht="16.7" customHeight="1">
      <c r="A60" s="10" t="s">
        <v>428</v>
      </c>
      <c r="B60" s="10"/>
      <c r="C60" s="11"/>
      <c r="D60" s="12"/>
      <c r="E60" s="13"/>
      <c r="F60" s="23"/>
      <c r="G60" s="12"/>
      <c r="H60" s="12"/>
      <c r="I60" s="12"/>
      <c r="J60" s="12"/>
      <c r="K60" s="12"/>
      <c r="L60" s="12"/>
      <c r="M60" s="12"/>
      <c r="N60" s="14"/>
    </row>
    <row r="61" spans="1:18" ht="16.7" customHeight="1">
      <c r="A61" s="15"/>
      <c r="B61" s="15"/>
      <c r="C61" s="16"/>
      <c r="D61" s="17"/>
      <c r="E61" s="18"/>
      <c r="F61" s="19"/>
      <c r="G61" s="17"/>
      <c r="H61" s="17"/>
      <c r="I61" s="17"/>
      <c r="J61" s="17"/>
      <c r="K61" s="17"/>
      <c r="L61" s="17"/>
      <c r="M61" s="17"/>
      <c r="N61" s="20"/>
    </row>
    <row r="62" spans="1:18" ht="16.7" customHeight="1">
      <c r="A62" s="21" t="s">
        <v>429</v>
      </c>
      <c r="B62" s="21" t="s">
        <v>430</v>
      </c>
      <c r="C62" s="22" t="s">
        <v>423</v>
      </c>
      <c r="D62" s="12">
        <v>40</v>
      </c>
      <c r="E62" s="13">
        <v>1</v>
      </c>
      <c r="F62" s="23">
        <f>ROUND(D62*E62,0)</f>
        <v>40</v>
      </c>
      <c r="G62" s="12"/>
      <c r="H62" s="12">
        <v>3.4000000000000002E-2</v>
      </c>
      <c r="I62" s="12"/>
      <c r="J62" s="12">
        <v>6.4000000000000001E-2</v>
      </c>
      <c r="K62" s="12"/>
      <c r="L62" s="12"/>
      <c r="M62" s="12"/>
      <c r="N62" s="24" t="s">
        <v>397</v>
      </c>
    </row>
    <row r="63" spans="1:18" ht="16.7" customHeight="1">
      <c r="A63" s="15"/>
      <c r="B63" s="15"/>
      <c r="C63" s="16"/>
      <c r="D63" s="25" t="s">
        <v>19</v>
      </c>
      <c r="E63" s="18">
        <v>1</v>
      </c>
      <c r="F63" s="19"/>
      <c r="G63" s="17"/>
      <c r="H63" s="17">
        <f>ROUND(D62*0.034,4)</f>
        <v>1.36</v>
      </c>
      <c r="I63" s="17"/>
      <c r="J63" s="17">
        <f>ROUND(D62*0.064,4)</f>
        <v>2.56</v>
      </c>
      <c r="K63" s="17"/>
      <c r="L63" s="17"/>
      <c r="M63" s="17"/>
      <c r="N63" s="20"/>
      <c r="R63" s="1">
        <v>1</v>
      </c>
    </row>
    <row r="64" spans="1:18" ht="16.7" customHeight="1">
      <c r="A64" s="21" t="s">
        <v>429</v>
      </c>
      <c r="B64" s="21" t="s">
        <v>431</v>
      </c>
      <c r="C64" s="22" t="s">
        <v>423</v>
      </c>
      <c r="D64" s="12">
        <v>40</v>
      </c>
      <c r="E64" s="13">
        <v>1</v>
      </c>
      <c r="F64" s="23">
        <f>ROUND(D64*E64,0)</f>
        <v>40</v>
      </c>
      <c r="G64" s="12"/>
      <c r="H64" s="12">
        <v>1.7999999999999999E-2</v>
      </c>
      <c r="I64" s="12"/>
      <c r="J64" s="12">
        <v>3.4000000000000002E-2</v>
      </c>
      <c r="K64" s="12"/>
      <c r="L64" s="12"/>
      <c r="M64" s="12"/>
      <c r="N64" s="24" t="s">
        <v>397</v>
      </c>
    </row>
    <row r="65" spans="1:18" ht="16.7" customHeight="1">
      <c r="A65" s="15"/>
      <c r="B65" s="15"/>
      <c r="C65" s="16"/>
      <c r="D65" s="25" t="s">
        <v>19</v>
      </c>
      <c r="E65" s="18">
        <v>1</v>
      </c>
      <c r="F65" s="19"/>
      <c r="G65" s="17"/>
      <c r="H65" s="17">
        <f>ROUND(D64*0.018,4)</f>
        <v>0.72</v>
      </c>
      <c r="I65" s="17"/>
      <c r="J65" s="17">
        <f>ROUND(D64*0.034,4)</f>
        <v>1.36</v>
      </c>
      <c r="K65" s="17"/>
      <c r="L65" s="17"/>
      <c r="M65" s="17"/>
      <c r="N65" s="20"/>
      <c r="R65" s="1">
        <v>1</v>
      </c>
    </row>
    <row r="66" spans="1:18" ht="16.7" customHeight="1">
      <c r="A66" s="10"/>
      <c r="B66" s="10"/>
      <c r="C66" s="11"/>
      <c r="D66" s="12"/>
      <c r="E66" s="13"/>
      <c r="F66" s="23"/>
      <c r="G66" s="12"/>
      <c r="H66" s="12"/>
      <c r="I66" s="12"/>
      <c r="J66" s="12"/>
      <c r="K66" s="12"/>
      <c r="L66" s="12"/>
      <c r="M66" s="12"/>
      <c r="N66" s="14"/>
    </row>
    <row r="67" spans="1:18" ht="16.7" customHeight="1">
      <c r="A67" s="15"/>
      <c r="B67" s="15"/>
      <c r="C67" s="16"/>
      <c r="D67" s="17"/>
      <c r="E67" s="18"/>
      <c r="F67" s="19"/>
      <c r="G67" s="17"/>
      <c r="H67" s="17"/>
      <c r="I67" s="17"/>
      <c r="J67" s="17"/>
      <c r="K67" s="17"/>
      <c r="L67" s="17"/>
      <c r="M67" s="17"/>
      <c r="N67" s="20"/>
    </row>
    <row r="68" spans="1:18" ht="16.7" customHeight="1">
      <c r="A68" s="10"/>
      <c r="B68" s="10"/>
      <c r="C68" s="11"/>
      <c r="D68" s="12"/>
      <c r="E68" s="13"/>
      <c r="F68" s="23"/>
      <c r="G68" s="12"/>
      <c r="H68" s="12"/>
      <c r="I68" s="12"/>
      <c r="J68" s="12"/>
      <c r="K68" s="12"/>
      <c r="L68" s="12"/>
      <c r="M68" s="12"/>
      <c r="N68" s="14"/>
    </row>
    <row r="69" spans="1:18" ht="16.7" customHeight="1">
      <c r="A69" s="15"/>
      <c r="B69" s="15"/>
      <c r="C69" s="16"/>
      <c r="D69" s="17"/>
      <c r="E69" s="18"/>
      <c r="F69" s="19"/>
      <c r="G69" s="17"/>
      <c r="H69" s="17"/>
      <c r="I69" s="17"/>
      <c r="J69" s="17"/>
      <c r="K69" s="17"/>
      <c r="L69" s="17"/>
      <c r="M69" s="17"/>
      <c r="N69" s="20"/>
    </row>
    <row r="70" spans="1:18" ht="16.7" customHeight="1">
      <c r="A70" s="10"/>
      <c r="B70" s="10"/>
      <c r="C70" s="11"/>
      <c r="D70" s="12"/>
      <c r="E70" s="13"/>
      <c r="F70" s="23"/>
      <c r="G70" s="12"/>
      <c r="H70" s="12"/>
      <c r="I70" s="12"/>
      <c r="J70" s="12"/>
      <c r="K70" s="12"/>
      <c r="L70" s="12"/>
      <c r="M70" s="12"/>
      <c r="N70" s="14"/>
    </row>
    <row r="71" spans="1:18" ht="16.7" customHeight="1">
      <c r="A71" s="15"/>
      <c r="B71" s="15"/>
      <c r="C71" s="16"/>
      <c r="D71" s="17"/>
      <c r="E71" s="18"/>
      <c r="F71" s="19"/>
      <c r="G71" s="17"/>
      <c r="H71" s="17"/>
      <c r="I71" s="17"/>
      <c r="J71" s="17"/>
      <c r="K71" s="17"/>
      <c r="L71" s="17"/>
      <c r="M71" s="17"/>
      <c r="N71" s="20"/>
    </row>
    <row r="72" spans="1:18" ht="16.7" customHeight="1">
      <c r="A72" s="10"/>
      <c r="B72" s="10"/>
      <c r="C72" s="11"/>
      <c r="D72" s="12"/>
      <c r="E72" s="13"/>
      <c r="F72" s="23"/>
      <c r="G72" s="12"/>
      <c r="H72" s="12"/>
      <c r="I72" s="12"/>
      <c r="J72" s="12"/>
      <c r="K72" s="12"/>
      <c r="L72" s="12"/>
      <c r="M72" s="12"/>
      <c r="N72" s="14"/>
    </row>
    <row r="73" spans="1:18" ht="16.7" customHeight="1">
      <c r="A73" s="15"/>
      <c r="B73" s="15"/>
      <c r="C73" s="16"/>
      <c r="D73" s="17"/>
      <c r="E73" s="18"/>
      <c r="F73" s="19"/>
      <c r="G73" s="17"/>
      <c r="H73" s="17"/>
      <c r="I73" s="17"/>
      <c r="J73" s="17"/>
      <c r="K73" s="17"/>
      <c r="L73" s="17"/>
      <c r="M73" s="17"/>
      <c r="N73" s="20"/>
    </row>
    <row r="74" spans="1:18" ht="16.7" customHeight="1">
      <c r="A74" s="10"/>
      <c r="B74" s="10"/>
      <c r="C74" s="11"/>
      <c r="D74" s="12"/>
      <c r="E74" s="13"/>
      <c r="F74" s="23"/>
      <c r="G74" s="12"/>
      <c r="H74" s="12"/>
      <c r="I74" s="12"/>
      <c r="J74" s="12"/>
      <c r="K74" s="12"/>
      <c r="L74" s="12"/>
      <c r="M74" s="12"/>
      <c r="N74" s="14"/>
    </row>
    <row r="75" spans="1:18" ht="16.7" customHeight="1">
      <c r="A75" s="15"/>
      <c r="B75" s="15"/>
      <c r="C75" s="16"/>
      <c r="D75" s="17"/>
      <c r="E75" s="18"/>
      <c r="F75" s="19"/>
      <c r="G75" s="17"/>
      <c r="H75" s="17"/>
      <c r="I75" s="17"/>
      <c r="J75" s="17"/>
      <c r="K75" s="17"/>
      <c r="L75" s="17"/>
      <c r="M75" s="17"/>
      <c r="N75" s="20"/>
    </row>
    <row r="76" spans="1:18" ht="16.7" customHeight="1">
      <c r="A76" s="10"/>
      <c r="B76" s="10"/>
      <c r="C76" s="11"/>
      <c r="D76" s="12"/>
      <c r="E76" s="13"/>
      <c r="F76" s="23"/>
      <c r="G76" s="12"/>
      <c r="H76" s="12">
        <f>SUMIF(R60:R75,1,H60:H75)</f>
        <v>2.08</v>
      </c>
      <c r="I76" s="12"/>
      <c r="J76" s="12">
        <f>SUMIF(R60:R75,1,J60:J75)</f>
        <v>3.92</v>
      </c>
      <c r="K76" s="12"/>
      <c r="L76" s="12"/>
      <c r="M76" s="12"/>
      <c r="N76" s="14"/>
    </row>
    <row r="77" spans="1:18" ht="16.7" customHeight="1">
      <c r="A77" s="26" t="s">
        <v>419</v>
      </c>
      <c r="B77" s="15"/>
      <c r="C77" s="16"/>
      <c r="D77" s="17"/>
      <c r="E77" s="18"/>
      <c r="F77" s="19"/>
      <c r="G77" s="17"/>
      <c r="H77" s="17">
        <f>ROUND(SUMIF(R60:R75,1,H60:H75),1)</f>
        <v>2.1</v>
      </c>
      <c r="I77" s="17"/>
      <c r="J77" s="17">
        <f>ROUND(SUMIF(R60:R75,1,J60:J75),1)</f>
        <v>3.9</v>
      </c>
      <c r="K77" s="17"/>
      <c r="L77" s="17"/>
      <c r="M77" s="17"/>
      <c r="N77" s="20"/>
    </row>
    <row r="78" spans="1:18">
      <c r="F78" s="5"/>
    </row>
    <row r="79" spans="1:18">
      <c r="F79" s="5"/>
    </row>
    <row r="80" spans="1:18">
      <c r="F80" s="5"/>
    </row>
    <row r="81" spans="6:6">
      <c r="F81" s="5"/>
    </row>
    <row r="82" spans="6:6">
      <c r="F82" s="5"/>
    </row>
    <row r="83" spans="6:6">
      <c r="F83" s="5"/>
    </row>
    <row r="84" spans="6:6">
      <c r="F84" s="5"/>
    </row>
    <row r="85" spans="6:6">
      <c r="F85" s="5"/>
    </row>
    <row r="86" spans="6:6">
      <c r="F86" s="5"/>
    </row>
    <row r="87" spans="6:6">
      <c r="F87" s="5"/>
    </row>
    <row r="88" spans="6:6">
      <c r="F88" s="5"/>
    </row>
  </sheetData>
  <mergeCells count="8">
    <mergeCell ref="A1:N1"/>
    <mergeCell ref="A2:N2"/>
    <mergeCell ref="A3:A5"/>
    <mergeCell ref="B3:B5"/>
    <mergeCell ref="C3:C5"/>
    <mergeCell ref="F3:F5"/>
    <mergeCell ref="N3:N5"/>
    <mergeCell ref="G3:M3"/>
  </mergeCells>
  <phoneticPr fontId="3" type="noConversion"/>
  <pageMargins left="0.74803149606299213" right="0" top="0.74803149606299213" bottom="0.15748031496062992" header="0.31496062992125984" footer="0.15748031496062992"/>
  <pageSetup paperSize="9" orientation="landscape" horizontalDpi="4294967293" verticalDpi="4294967293" r:id="rId1"/>
  <rowBreaks count="4" manualBreakCount="4">
    <brk id="23" max="13" man="1"/>
    <brk id="41" max="13" man="1"/>
    <brk id="59" max="13" man="1"/>
    <brk id="7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FFB7"/>
  </sheetPr>
  <dimension ref="A1:O144"/>
  <sheetViews>
    <sheetView view="pageBreakPreview" topLeftCell="A28" zoomScale="115" zoomScaleSheetLayoutView="115" workbookViewId="0">
      <selection activeCell="B8" sqref="B8"/>
    </sheetView>
  </sheetViews>
  <sheetFormatPr defaultRowHeight="9.75"/>
  <cols>
    <col min="1" max="1" width="18.625" style="1" customWidth="1"/>
    <col min="2" max="2" width="15.625" style="1" customWidth="1"/>
    <col min="3" max="3" width="3.625" style="2" customWidth="1"/>
    <col min="4" max="4" width="5.625" style="3" customWidth="1"/>
    <col min="5" max="5" width="7.625" style="3" customWidth="1"/>
    <col min="6" max="6" width="5.625" style="3" customWidth="1"/>
    <col min="7" max="7" width="7.625" style="3" customWidth="1"/>
    <col min="8" max="8" width="5.625" style="3" customWidth="1"/>
    <col min="9" max="9" width="7.625" style="3" customWidth="1"/>
    <col min="10" max="10" width="5.625" style="3" customWidth="1"/>
    <col min="11" max="14" width="7.625" style="3" customWidth="1"/>
    <col min="15" max="15" width="7.625" style="4" customWidth="1"/>
    <col min="16" max="16384" width="9" style="1"/>
  </cols>
  <sheetData>
    <row r="1" spans="1:15" ht="26.1" customHeight="1">
      <c r="A1" s="142" t="s">
        <v>0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1:15" ht="16.5" customHeight="1">
      <c r="A2" s="159" t="s">
        <v>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</row>
    <row r="3" spans="1:15" ht="16.5" customHeight="1">
      <c r="A3" s="160" t="s">
        <v>2</v>
      </c>
      <c r="B3" s="160" t="s">
        <v>3</v>
      </c>
      <c r="C3" s="160" t="s">
        <v>4</v>
      </c>
      <c r="D3" s="160" t="s">
        <v>5</v>
      </c>
      <c r="E3" s="160"/>
      <c r="F3" s="160" t="s">
        <v>6</v>
      </c>
      <c r="G3" s="160"/>
      <c r="H3" s="75" t="s">
        <v>7</v>
      </c>
      <c r="I3" s="160" t="s">
        <v>8</v>
      </c>
      <c r="J3" s="160"/>
      <c r="K3" s="160" t="s">
        <v>9</v>
      </c>
      <c r="L3" s="160"/>
      <c r="M3" s="75" t="s">
        <v>10</v>
      </c>
      <c r="N3" s="160" t="s">
        <v>11</v>
      </c>
      <c r="O3" s="160" t="s">
        <v>12</v>
      </c>
    </row>
    <row r="4" spans="1:15" ht="16.5" customHeight="1">
      <c r="A4" s="160"/>
      <c r="B4" s="160"/>
      <c r="C4" s="160"/>
      <c r="D4" s="75" t="s">
        <v>13</v>
      </c>
      <c r="E4" s="75" t="s">
        <v>14</v>
      </c>
      <c r="F4" s="75" t="s">
        <v>13</v>
      </c>
      <c r="G4" s="75" t="s">
        <v>14</v>
      </c>
      <c r="H4" s="75" t="s">
        <v>13</v>
      </c>
      <c r="I4" s="75" t="s">
        <v>13</v>
      </c>
      <c r="J4" s="75" t="s">
        <v>14</v>
      </c>
      <c r="K4" s="75" t="s">
        <v>13</v>
      </c>
      <c r="L4" s="75" t="s">
        <v>14</v>
      </c>
      <c r="M4" s="75" t="s">
        <v>13</v>
      </c>
      <c r="N4" s="160"/>
      <c r="O4" s="160"/>
    </row>
    <row r="5" spans="1:15" ht="16.5" customHeight="1">
      <c r="A5" s="76" t="s">
        <v>15</v>
      </c>
      <c r="B5" s="76" t="s">
        <v>16</v>
      </c>
      <c r="C5" s="77" t="s">
        <v>17</v>
      </c>
      <c r="D5" s="78">
        <v>4961</v>
      </c>
      <c r="E5" s="79" t="s">
        <v>18</v>
      </c>
      <c r="F5" s="78"/>
      <c r="G5" s="80"/>
      <c r="H5" s="78"/>
      <c r="I5" s="78"/>
      <c r="J5" s="80"/>
      <c r="K5" s="78"/>
      <c r="L5" s="80"/>
      <c r="M5" s="78"/>
      <c r="N5" s="78">
        <f t="shared" ref="N5:N36" si="0">MIN(D5, F5, H5, I5, K5, M5)</f>
        <v>4961</v>
      </c>
      <c r="O5" s="81" t="s">
        <v>19</v>
      </c>
    </row>
    <row r="6" spans="1:15" ht="16.5" customHeight="1">
      <c r="A6" s="76" t="s">
        <v>15</v>
      </c>
      <c r="B6" s="76" t="s">
        <v>20</v>
      </c>
      <c r="C6" s="77" t="s">
        <v>17</v>
      </c>
      <c r="D6" s="78">
        <v>15730</v>
      </c>
      <c r="E6" s="79" t="s">
        <v>18</v>
      </c>
      <c r="F6" s="78"/>
      <c r="G6" s="80"/>
      <c r="H6" s="78"/>
      <c r="I6" s="78"/>
      <c r="J6" s="80"/>
      <c r="K6" s="78"/>
      <c r="L6" s="80"/>
      <c r="M6" s="78"/>
      <c r="N6" s="78">
        <f t="shared" si="0"/>
        <v>15730</v>
      </c>
      <c r="O6" s="81" t="s">
        <v>19</v>
      </c>
    </row>
    <row r="7" spans="1:15" ht="16.5" customHeight="1">
      <c r="A7" s="76" t="s">
        <v>21</v>
      </c>
      <c r="B7" s="76" t="s">
        <v>22</v>
      </c>
      <c r="C7" s="77" t="s">
        <v>17</v>
      </c>
      <c r="D7" s="78">
        <v>5687</v>
      </c>
      <c r="E7" s="79" t="s">
        <v>18</v>
      </c>
      <c r="F7" s="78"/>
      <c r="G7" s="80"/>
      <c r="H7" s="78"/>
      <c r="I7" s="78"/>
      <c r="J7" s="80"/>
      <c r="K7" s="78"/>
      <c r="L7" s="80"/>
      <c r="M7" s="78"/>
      <c r="N7" s="78">
        <f t="shared" si="0"/>
        <v>5687</v>
      </c>
      <c r="O7" s="81" t="s">
        <v>19</v>
      </c>
    </row>
    <row r="8" spans="1:15" ht="16.5" customHeight="1">
      <c r="A8" s="76" t="s">
        <v>23</v>
      </c>
      <c r="B8" s="76" t="s">
        <v>16</v>
      </c>
      <c r="C8" s="77" t="s">
        <v>17</v>
      </c>
      <c r="D8" s="78">
        <v>3267</v>
      </c>
      <c r="E8" s="79" t="s">
        <v>18</v>
      </c>
      <c r="F8" s="78"/>
      <c r="G8" s="80"/>
      <c r="H8" s="78"/>
      <c r="I8" s="78"/>
      <c r="J8" s="80"/>
      <c r="K8" s="78"/>
      <c r="L8" s="80"/>
      <c r="M8" s="78"/>
      <c r="N8" s="78">
        <f t="shared" si="0"/>
        <v>3267</v>
      </c>
      <c r="O8" s="81" t="s">
        <v>19</v>
      </c>
    </row>
    <row r="9" spans="1:15" ht="16.5" customHeight="1">
      <c r="A9" s="76" t="s">
        <v>23</v>
      </c>
      <c r="B9" s="76" t="s">
        <v>20</v>
      </c>
      <c r="C9" s="77" t="s">
        <v>17</v>
      </c>
      <c r="D9" s="78">
        <v>11979</v>
      </c>
      <c r="E9" s="79" t="s">
        <v>18</v>
      </c>
      <c r="F9" s="78"/>
      <c r="G9" s="80"/>
      <c r="H9" s="78"/>
      <c r="I9" s="78"/>
      <c r="J9" s="80"/>
      <c r="K9" s="78"/>
      <c r="L9" s="80"/>
      <c r="M9" s="78"/>
      <c r="N9" s="78">
        <f t="shared" si="0"/>
        <v>11979</v>
      </c>
      <c r="O9" s="81" t="s">
        <v>19</v>
      </c>
    </row>
    <row r="10" spans="1:15" ht="16.5" customHeight="1">
      <c r="A10" s="76" t="s">
        <v>24</v>
      </c>
      <c r="B10" s="76" t="s">
        <v>25</v>
      </c>
      <c r="C10" s="77" t="s">
        <v>26</v>
      </c>
      <c r="D10" s="78">
        <v>41000</v>
      </c>
      <c r="E10" s="79" t="s">
        <v>27</v>
      </c>
      <c r="F10" s="78"/>
      <c r="G10" s="80"/>
      <c r="H10" s="78"/>
      <c r="I10" s="78"/>
      <c r="J10" s="80"/>
      <c r="K10" s="78"/>
      <c r="L10" s="80"/>
      <c r="M10" s="78"/>
      <c r="N10" s="78">
        <f t="shared" si="0"/>
        <v>41000</v>
      </c>
      <c r="O10" s="81" t="s">
        <v>19</v>
      </c>
    </row>
    <row r="11" spans="1:15" ht="16.5" customHeight="1">
      <c r="A11" s="76" t="s">
        <v>28</v>
      </c>
      <c r="B11" s="76" t="s">
        <v>29</v>
      </c>
      <c r="C11" s="77" t="s">
        <v>26</v>
      </c>
      <c r="D11" s="78">
        <v>4029</v>
      </c>
      <c r="E11" s="79" t="s">
        <v>30</v>
      </c>
      <c r="F11" s="78"/>
      <c r="G11" s="80"/>
      <c r="H11" s="78">
        <v>3747</v>
      </c>
      <c r="I11" s="78">
        <v>3728</v>
      </c>
      <c r="J11" s="79" t="s">
        <v>31</v>
      </c>
      <c r="K11" s="78"/>
      <c r="L11" s="80"/>
      <c r="M11" s="78"/>
      <c r="N11" s="78">
        <f t="shared" si="0"/>
        <v>3728</v>
      </c>
      <c r="O11" s="81" t="s">
        <v>19</v>
      </c>
    </row>
    <row r="12" spans="1:15" ht="16.5" customHeight="1">
      <c r="A12" s="76" t="s">
        <v>32</v>
      </c>
      <c r="B12" s="76" t="s">
        <v>33</v>
      </c>
      <c r="C12" s="77" t="s">
        <v>34</v>
      </c>
      <c r="D12" s="78">
        <v>2670</v>
      </c>
      <c r="E12" s="79" t="s">
        <v>35</v>
      </c>
      <c r="F12" s="78"/>
      <c r="G12" s="80"/>
      <c r="H12" s="78"/>
      <c r="I12" s="78"/>
      <c r="J12" s="80"/>
      <c r="K12" s="78"/>
      <c r="L12" s="80"/>
      <c r="M12" s="78"/>
      <c r="N12" s="78">
        <f t="shared" si="0"/>
        <v>2670</v>
      </c>
      <c r="O12" s="81" t="s">
        <v>19</v>
      </c>
    </row>
    <row r="13" spans="1:15" ht="16.5" customHeight="1">
      <c r="A13" s="76" t="s">
        <v>36</v>
      </c>
      <c r="B13" s="76" t="s">
        <v>37</v>
      </c>
      <c r="C13" s="77" t="s">
        <v>34</v>
      </c>
      <c r="D13" s="78">
        <v>3140</v>
      </c>
      <c r="E13" s="79" t="s">
        <v>35</v>
      </c>
      <c r="F13" s="78"/>
      <c r="G13" s="80"/>
      <c r="H13" s="78"/>
      <c r="I13" s="78"/>
      <c r="J13" s="80"/>
      <c r="K13" s="78"/>
      <c r="L13" s="80"/>
      <c r="M13" s="78"/>
      <c r="N13" s="78">
        <f t="shared" si="0"/>
        <v>3140</v>
      </c>
      <c r="O13" s="81" t="s">
        <v>19</v>
      </c>
    </row>
    <row r="14" spans="1:15" ht="16.5" customHeight="1">
      <c r="A14" s="76" t="s">
        <v>38</v>
      </c>
      <c r="B14" s="76" t="s">
        <v>39</v>
      </c>
      <c r="C14" s="77" t="s">
        <v>34</v>
      </c>
      <c r="D14" s="78">
        <v>7787</v>
      </c>
      <c r="E14" s="79" t="s">
        <v>40</v>
      </c>
      <c r="F14" s="78">
        <v>7927.5</v>
      </c>
      <c r="G14" s="79" t="s">
        <v>41</v>
      </c>
      <c r="H14" s="82">
        <v>6230</v>
      </c>
      <c r="I14" s="78">
        <v>7787</v>
      </c>
      <c r="J14" s="79" t="s">
        <v>42</v>
      </c>
      <c r="K14" s="78">
        <v>8175</v>
      </c>
      <c r="L14" s="79" t="s">
        <v>43</v>
      </c>
      <c r="M14" s="78"/>
      <c r="N14" s="78">
        <f t="shared" si="0"/>
        <v>6230</v>
      </c>
      <c r="O14" s="81" t="s">
        <v>19</v>
      </c>
    </row>
    <row r="15" spans="1:15" ht="16.5" customHeight="1">
      <c r="A15" s="76" t="s">
        <v>38</v>
      </c>
      <c r="B15" s="76" t="s">
        <v>44</v>
      </c>
      <c r="C15" s="77" t="s">
        <v>34</v>
      </c>
      <c r="D15" s="78">
        <v>2572</v>
      </c>
      <c r="E15" s="79" t="s">
        <v>40</v>
      </c>
      <c r="F15" s="78">
        <v>2605</v>
      </c>
      <c r="G15" s="79" t="s">
        <v>41</v>
      </c>
      <c r="H15" s="78">
        <v>2050</v>
      </c>
      <c r="I15" s="78">
        <v>2572</v>
      </c>
      <c r="J15" s="79" t="s">
        <v>42</v>
      </c>
      <c r="K15" s="78">
        <v>2700</v>
      </c>
      <c r="L15" s="79" t="s">
        <v>43</v>
      </c>
      <c r="M15" s="78"/>
      <c r="N15" s="78">
        <f t="shared" si="0"/>
        <v>2050</v>
      </c>
      <c r="O15" s="81" t="s">
        <v>19</v>
      </c>
    </row>
    <row r="16" spans="1:15" ht="16.5" customHeight="1">
      <c r="A16" s="76" t="s">
        <v>45</v>
      </c>
      <c r="B16" s="76" t="s">
        <v>46</v>
      </c>
      <c r="C16" s="77" t="s">
        <v>26</v>
      </c>
      <c r="D16" s="78"/>
      <c r="E16" s="80"/>
      <c r="F16" s="78">
        <v>62000</v>
      </c>
      <c r="G16" s="79" t="s">
        <v>47</v>
      </c>
      <c r="H16" s="78"/>
      <c r="I16" s="78">
        <v>68000</v>
      </c>
      <c r="J16" s="79" t="s">
        <v>48</v>
      </c>
      <c r="K16" s="78">
        <v>69000</v>
      </c>
      <c r="L16" s="79" t="s">
        <v>49</v>
      </c>
      <c r="M16" s="78"/>
      <c r="N16" s="78">
        <f t="shared" si="0"/>
        <v>62000</v>
      </c>
      <c r="O16" s="81" t="s">
        <v>19</v>
      </c>
    </row>
    <row r="17" spans="1:15" ht="16.5" customHeight="1">
      <c r="A17" s="76" t="s">
        <v>45</v>
      </c>
      <c r="B17" s="76" t="s">
        <v>50</v>
      </c>
      <c r="C17" s="77" t="s">
        <v>26</v>
      </c>
      <c r="D17" s="78"/>
      <c r="E17" s="80"/>
      <c r="F17" s="78">
        <v>65000</v>
      </c>
      <c r="G17" s="79" t="s">
        <v>47</v>
      </c>
      <c r="H17" s="78"/>
      <c r="I17" s="78">
        <v>72000</v>
      </c>
      <c r="J17" s="79" t="s">
        <v>48</v>
      </c>
      <c r="K17" s="78">
        <v>75000</v>
      </c>
      <c r="L17" s="79" t="s">
        <v>49</v>
      </c>
      <c r="M17" s="78"/>
      <c r="N17" s="78">
        <f t="shared" si="0"/>
        <v>65000</v>
      </c>
      <c r="O17" s="81" t="s">
        <v>19</v>
      </c>
    </row>
    <row r="18" spans="1:15" ht="16.5" customHeight="1">
      <c r="A18" s="76" t="s">
        <v>51</v>
      </c>
      <c r="B18" s="76" t="s">
        <v>52</v>
      </c>
      <c r="C18" s="77" t="s">
        <v>26</v>
      </c>
      <c r="D18" s="78">
        <v>48000</v>
      </c>
      <c r="E18" s="79" t="s">
        <v>53</v>
      </c>
      <c r="F18" s="78">
        <v>46000</v>
      </c>
      <c r="G18" s="79" t="s">
        <v>54</v>
      </c>
      <c r="H18" s="78">
        <v>43200</v>
      </c>
      <c r="I18" s="78">
        <v>46000</v>
      </c>
      <c r="J18" s="79" t="s">
        <v>55</v>
      </c>
      <c r="K18" s="78"/>
      <c r="L18" s="80"/>
      <c r="M18" s="78"/>
      <c r="N18" s="78">
        <f t="shared" si="0"/>
        <v>43200</v>
      </c>
      <c r="O18" s="81" t="s">
        <v>19</v>
      </c>
    </row>
    <row r="19" spans="1:15" ht="16.5" customHeight="1">
      <c r="A19" s="76" t="s">
        <v>56</v>
      </c>
      <c r="B19" s="76" t="s">
        <v>57</v>
      </c>
      <c r="C19" s="77" t="s">
        <v>58</v>
      </c>
      <c r="D19" s="78"/>
      <c r="E19" s="80"/>
      <c r="F19" s="78"/>
      <c r="G19" s="80"/>
      <c r="H19" s="78"/>
      <c r="I19" s="78"/>
      <c r="J19" s="80"/>
      <c r="K19" s="78"/>
      <c r="L19" s="80"/>
      <c r="M19" s="78">
        <v>1100</v>
      </c>
      <c r="N19" s="78">
        <f t="shared" si="0"/>
        <v>1100</v>
      </c>
      <c r="O19" s="81" t="s">
        <v>19</v>
      </c>
    </row>
    <row r="20" spans="1:15" ht="16.5" customHeight="1">
      <c r="A20" s="76" t="s">
        <v>59</v>
      </c>
      <c r="B20" s="76" t="s">
        <v>60</v>
      </c>
      <c r="C20" s="77" t="s">
        <v>17</v>
      </c>
      <c r="D20" s="78">
        <v>8000</v>
      </c>
      <c r="E20" s="79" t="s">
        <v>61</v>
      </c>
      <c r="F20" s="78">
        <v>8900</v>
      </c>
      <c r="G20" s="79" t="s">
        <v>62</v>
      </c>
      <c r="H20" s="78">
        <v>6640</v>
      </c>
      <c r="I20" s="78">
        <v>8900</v>
      </c>
      <c r="J20" s="79" t="s">
        <v>63</v>
      </c>
      <c r="K20" s="78"/>
      <c r="L20" s="80"/>
      <c r="M20" s="78"/>
      <c r="N20" s="78">
        <f t="shared" si="0"/>
        <v>6640</v>
      </c>
      <c r="O20" s="81" t="s">
        <v>19</v>
      </c>
    </row>
    <row r="21" spans="1:15" ht="16.5" customHeight="1">
      <c r="A21" s="76" t="s">
        <v>64</v>
      </c>
      <c r="B21" s="76" t="s">
        <v>65</v>
      </c>
      <c r="C21" s="77" t="s">
        <v>66</v>
      </c>
      <c r="D21" s="78">
        <v>1800</v>
      </c>
      <c r="E21" s="79" t="s">
        <v>67</v>
      </c>
      <c r="F21" s="78">
        <v>1400</v>
      </c>
      <c r="G21" s="79" t="s">
        <v>68</v>
      </c>
      <c r="H21" s="78">
        <v>1685</v>
      </c>
      <c r="I21" s="78"/>
      <c r="J21" s="80"/>
      <c r="K21" s="78">
        <v>1810</v>
      </c>
      <c r="L21" s="79" t="s">
        <v>69</v>
      </c>
      <c r="M21" s="78"/>
      <c r="N21" s="78">
        <f t="shared" si="0"/>
        <v>1400</v>
      </c>
      <c r="O21" s="81" t="s">
        <v>19</v>
      </c>
    </row>
    <row r="22" spans="1:15" ht="16.5" customHeight="1">
      <c r="A22" s="76" t="s">
        <v>70</v>
      </c>
      <c r="B22" s="76" t="s">
        <v>71</v>
      </c>
      <c r="C22" s="77" t="s">
        <v>72</v>
      </c>
      <c r="D22" s="78">
        <v>1360</v>
      </c>
      <c r="E22" s="79" t="s">
        <v>73</v>
      </c>
      <c r="F22" s="78">
        <v>1369</v>
      </c>
      <c r="G22" s="79" t="s">
        <v>74</v>
      </c>
      <c r="H22" s="78">
        <v>1223</v>
      </c>
      <c r="I22" s="78">
        <v>1400</v>
      </c>
      <c r="J22" s="79" t="s">
        <v>75</v>
      </c>
      <c r="K22" s="78">
        <v>1382</v>
      </c>
      <c r="L22" s="79" t="s">
        <v>76</v>
      </c>
      <c r="M22" s="78"/>
      <c r="N22" s="78">
        <f t="shared" si="0"/>
        <v>1223</v>
      </c>
      <c r="O22" s="81" t="s">
        <v>19</v>
      </c>
    </row>
    <row r="23" spans="1:15" ht="16.5" customHeight="1">
      <c r="A23" s="76" t="s">
        <v>77</v>
      </c>
      <c r="B23" s="76" t="s">
        <v>78</v>
      </c>
      <c r="C23" s="77" t="s">
        <v>72</v>
      </c>
      <c r="D23" s="78">
        <v>17422</v>
      </c>
      <c r="E23" s="79" t="s">
        <v>79</v>
      </c>
      <c r="F23" s="78">
        <v>11027</v>
      </c>
      <c r="G23" s="79" t="s">
        <v>80</v>
      </c>
      <c r="H23" s="78">
        <v>9040</v>
      </c>
      <c r="I23" s="78">
        <v>11027</v>
      </c>
      <c r="J23" s="79" t="s">
        <v>81</v>
      </c>
      <c r="K23" s="78"/>
      <c r="L23" s="80"/>
      <c r="M23" s="78"/>
      <c r="N23" s="78">
        <f t="shared" si="0"/>
        <v>9040</v>
      </c>
      <c r="O23" s="81" t="s">
        <v>19</v>
      </c>
    </row>
    <row r="24" spans="1:15" ht="16.5" customHeight="1">
      <c r="A24" s="76" t="s">
        <v>82</v>
      </c>
      <c r="B24" s="76" t="s">
        <v>83</v>
      </c>
      <c r="C24" s="77" t="s">
        <v>34</v>
      </c>
      <c r="D24" s="78">
        <v>1901</v>
      </c>
      <c r="E24" s="79" t="s">
        <v>84</v>
      </c>
      <c r="F24" s="78"/>
      <c r="G24" s="80"/>
      <c r="H24" s="78">
        <v>1810</v>
      </c>
      <c r="I24" s="78"/>
      <c r="J24" s="80"/>
      <c r="K24" s="78"/>
      <c r="L24" s="80"/>
      <c r="M24" s="78"/>
      <c r="N24" s="78">
        <f t="shared" si="0"/>
        <v>1810</v>
      </c>
      <c r="O24" s="81" t="s">
        <v>19</v>
      </c>
    </row>
    <row r="25" spans="1:15" ht="16.5" customHeight="1">
      <c r="A25" s="76" t="s">
        <v>85</v>
      </c>
      <c r="B25" s="76" t="s">
        <v>86</v>
      </c>
      <c r="C25" s="77" t="s">
        <v>34</v>
      </c>
      <c r="D25" s="78"/>
      <c r="E25" s="80"/>
      <c r="F25" s="78">
        <v>500</v>
      </c>
      <c r="G25" s="79" t="s">
        <v>87</v>
      </c>
      <c r="H25" s="78">
        <v>500</v>
      </c>
      <c r="I25" s="78"/>
      <c r="J25" s="80"/>
      <c r="K25" s="78"/>
      <c r="L25" s="80"/>
      <c r="M25" s="78"/>
      <c r="N25" s="78">
        <f t="shared" si="0"/>
        <v>500</v>
      </c>
      <c r="O25" s="81" t="s">
        <v>19</v>
      </c>
    </row>
    <row r="26" spans="1:15" ht="16.5" customHeight="1">
      <c r="A26" s="76" t="s">
        <v>88</v>
      </c>
      <c r="B26" s="76" t="s">
        <v>89</v>
      </c>
      <c r="C26" s="77" t="s">
        <v>26</v>
      </c>
      <c r="D26" s="78">
        <v>7500</v>
      </c>
      <c r="E26" s="79" t="s">
        <v>90</v>
      </c>
      <c r="F26" s="78">
        <v>7500</v>
      </c>
      <c r="G26" s="79" t="s">
        <v>91</v>
      </c>
      <c r="H26" s="78">
        <v>6280</v>
      </c>
      <c r="I26" s="78">
        <v>6700</v>
      </c>
      <c r="J26" s="79" t="s">
        <v>92</v>
      </c>
      <c r="K26" s="78">
        <v>7400</v>
      </c>
      <c r="L26" s="79" t="s">
        <v>93</v>
      </c>
      <c r="M26" s="78"/>
      <c r="N26" s="78">
        <f t="shared" si="0"/>
        <v>6280</v>
      </c>
      <c r="O26" s="81" t="s">
        <v>19</v>
      </c>
    </row>
    <row r="27" spans="1:15" ht="16.5" customHeight="1">
      <c r="A27" s="76" t="s">
        <v>94</v>
      </c>
      <c r="B27" s="76" t="s">
        <v>95</v>
      </c>
      <c r="C27" s="77" t="s">
        <v>26</v>
      </c>
      <c r="D27" s="78">
        <v>8400</v>
      </c>
      <c r="E27" s="79" t="s">
        <v>96</v>
      </c>
      <c r="F27" s="78">
        <v>8800</v>
      </c>
      <c r="G27" s="79" t="s">
        <v>97</v>
      </c>
      <c r="H27" s="78"/>
      <c r="I27" s="78">
        <v>8800</v>
      </c>
      <c r="J27" s="79" t="s">
        <v>98</v>
      </c>
      <c r="K27" s="78"/>
      <c r="L27" s="80"/>
      <c r="M27" s="78"/>
      <c r="N27" s="78">
        <f t="shared" si="0"/>
        <v>8400</v>
      </c>
      <c r="O27" s="81" t="s">
        <v>19</v>
      </c>
    </row>
    <row r="28" spans="1:15" ht="16.5" customHeight="1">
      <c r="A28" s="76" t="s">
        <v>99</v>
      </c>
      <c r="B28" s="76" t="s">
        <v>100</v>
      </c>
      <c r="C28" s="77" t="s">
        <v>26</v>
      </c>
      <c r="D28" s="78">
        <v>7620</v>
      </c>
      <c r="E28" s="79" t="s">
        <v>101</v>
      </c>
      <c r="F28" s="78">
        <v>8070</v>
      </c>
      <c r="G28" s="79" t="s">
        <v>102</v>
      </c>
      <c r="H28" s="78">
        <v>7480</v>
      </c>
      <c r="I28" s="78">
        <v>7620</v>
      </c>
      <c r="J28" s="79" t="s">
        <v>103</v>
      </c>
      <c r="K28" s="78">
        <v>7500</v>
      </c>
      <c r="L28" s="79" t="s">
        <v>104</v>
      </c>
      <c r="M28" s="78"/>
      <c r="N28" s="78">
        <f t="shared" si="0"/>
        <v>7480</v>
      </c>
      <c r="O28" s="81" t="s">
        <v>19</v>
      </c>
    </row>
    <row r="29" spans="1:15" ht="16.5" customHeight="1">
      <c r="A29" s="76" t="s">
        <v>105</v>
      </c>
      <c r="B29" s="76" t="s">
        <v>106</v>
      </c>
      <c r="C29" s="77" t="s">
        <v>107</v>
      </c>
      <c r="D29" s="78">
        <v>23000</v>
      </c>
      <c r="E29" s="79" t="s">
        <v>108</v>
      </c>
      <c r="F29" s="78">
        <v>24000</v>
      </c>
      <c r="G29" s="79" t="s">
        <v>109</v>
      </c>
      <c r="H29" s="78"/>
      <c r="I29" s="78">
        <v>24000</v>
      </c>
      <c r="J29" s="79" t="s">
        <v>110</v>
      </c>
      <c r="K29" s="78">
        <v>23000</v>
      </c>
      <c r="L29" s="79" t="s">
        <v>63</v>
      </c>
      <c r="M29" s="78"/>
      <c r="N29" s="78">
        <f t="shared" si="0"/>
        <v>23000</v>
      </c>
      <c r="O29" s="81" t="s">
        <v>19</v>
      </c>
    </row>
    <row r="30" spans="1:15" ht="16.5" customHeight="1">
      <c r="A30" s="76" t="s">
        <v>105</v>
      </c>
      <c r="B30" s="76" t="s">
        <v>111</v>
      </c>
      <c r="C30" s="77" t="s">
        <v>107</v>
      </c>
      <c r="D30" s="78"/>
      <c r="E30" s="80"/>
      <c r="F30" s="78">
        <v>12000</v>
      </c>
      <c r="G30" s="79" t="s">
        <v>112</v>
      </c>
      <c r="H30" s="78"/>
      <c r="I30" s="78">
        <v>12000</v>
      </c>
      <c r="J30" s="79" t="s">
        <v>113</v>
      </c>
      <c r="K30" s="78"/>
      <c r="L30" s="80"/>
      <c r="M30" s="78"/>
      <c r="N30" s="78">
        <f t="shared" si="0"/>
        <v>12000</v>
      </c>
      <c r="O30" s="81" t="s">
        <v>114</v>
      </c>
    </row>
    <row r="31" spans="1:15" ht="16.5" customHeight="1">
      <c r="A31" s="76" t="s">
        <v>115</v>
      </c>
      <c r="B31" s="76" t="s">
        <v>116</v>
      </c>
      <c r="C31" s="77" t="s">
        <v>72</v>
      </c>
      <c r="D31" s="78">
        <v>3752</v>
      </c>
      <c r="E31" s="79" t="s">
        <v>117</v>
      </c>
      <c r="F31" s="78">
        <v>3754</v>
      </c>
      <c r="G31" s="79" t="s">
        <v>118</v>
      </c>
      <c r="H31" s="78"/>
      <c r="I31" s="78">
        <v>3752</v>
      </c>
      <c r="J31" s="79" t="s">
        <v>119</v>
      </c>
      <c r="K31" s="78">
        <v>3754</v>
      </c>
      <c r="L31" s="79" t="s">
        <v>120</v>
      </c>
      <c r="M31" s="78"/>
      <c r="N31" s="78">
        <f t="shared" si="0"/>
        <v>3752</v>
      </c>
      <c r="O31" s="81" t="s">
        <v>19</v>
      </c>
    </row>
    <row r="32" spans="1:15" ht="16.5" customHeight="1">
      <c r="A32" s="76" t="s">
        <v>121</v>
      </c>
      <c r="B32" s="76" t="s">
        <v>122</v>
      </c>
      <c r="C32" s="77" t="s">
        <v>17</v>
      </c>
      <c r="D32" s="78"/>
      <c r="E32" s="80"/>
      <c r="F32" s="78"/>
      <c r="G32" s="80"/>
      <c r="H32" s="78"/>
      <c r="I32" s="78"/>
      <c r="J32" s="80"/>
      <c r="K32" s="78"/>
      <c r="L32" s="80"/>
      <c r="M32" s="78">
        <v>250000</v>
      </c>
      <c r="N32" s="78">
        <f t="shared" si="0"/>
        <v>250000</v>
      </c>
      <c r="O32" s="81" t="s">
        <v>19</v>
      </c>
    </row>
    <row r="33" spans="1:15" ht="16.5" customHeight="1">
      <c r="A33" s="76" t="s">
        <v>123</v>
      </c>
      <c r="B33" s="76" t="s">
        <v>124</v>
      </c>
      <c r="C33" s="77" t="s">
        <v>34</v>
      </c>
      <c r="D33" s="78"/>
      <c r="E33" s="80"/>
      <c r="F33" s="78"/>
      <c r="G33" s="80"/>
      <c r="H33" s="78"/>
      <c r="I33" s="78">
        <v>1890</v>
      </c>
      <c r="J33" s="79" t="s">
        <v>125</v>
      </c>
      <c r="K33" s="78"/>
      <c r="L33" s="80"/>
      <c r="M33" s="78"/>
      <c r="N33" s="78">
        <f t="shared" si="0"/>
        <v>1890</v>
      </c>
      <c r="O33" s="81" t="s">
        <v>126</v>
      </c>
    </row>
    <row r="34" spans="1:15" ht="16.5" customHeight="1">
      <c r="A34" s="76" t="s">
        <v>127</v>
      </c>
      <c r="B34" s="76" t="s">
        <v>128</v>
      </c>
      <c r="C34" s="77" t="s">
        <v>34</v>
      </c>
      <c r="D34" s="78"/>
      <c r="E34" s="80"/>
      <c r="F34" s="78"/>
      <c r="G34" s="80"/>
      <c r="H34" s="78"/>
      <c r="I34" s="78"/>
      <c r="J34" s="80"/>
      <c r="K34" s="78"/>
      <c r="L34" s="80"/>
      <c r="M34" s="78">
        <v>2500</v>
      </c>
      <c r="N34" s="78">
        <f t="shared" si="0"/>
        <v>2500</v>
      </c>
      <c r="O34" s="81" t="s">
        <v>19</v>
      </c>
    </row>
    <row r="35" spans="1:15" ht="16.5" customHeight="1">
      <c r="A35" s="76" t="s">
        <v>129</v>
      </c>
      <c r="B35" s="76" t="s">
        <v>130</v>
      </c>
      <c r="C35" s="77" t="s">
        <v>26</v>
      </c>
      <c r="D35" s="78"/>
      <c r="E35" s="80"/>
      <c r="F35" s="78">
        <v>11363</v>
      </c>
      <c r="G35" s="79" t="s">
        <v>131</v>
      </c>
      <c r="H35" s="78"/>
      <c r="I35" s="78"/>
      <c r="J35" s="80"/>
      <c r="K35" s="78"/>
      <c r="L35" s="80"/>
      <c r="M35" s="78"/>
      <c r="N35" s="78">
        <f t="shared" si="0"/>
        <v>11363</v>
      </c>
      <c r="O35" s="81" t="s">
        <v>19</v>
      </c>
    </row>
    <row r="36" spans="1:15" ht="16.5" customHeight="1">
      <c r="A36" s="76" t="s">
        <v>132</v>
      </c>
      <c r="B36" s="76" t="s">
        <v>133</v>
      </c>
      <c r="C36" s="77" t="s">
        <v>17</v>
      </c>
      <c r="D36" s="78">
        <v>24000</v>
      </c>
      <c r="E36" s="79" t="s">
        <v>61</v>
      </c>
      <c r="F36" s="78"/>
      <c r="G36" s="80"/>
      <c r="H36" s="78"/>
      <c r="I36" s="78"/>
      <c r="J36" s="80"/>
      <c r="K36" s="78"/>
      <c r="L36" s="80"/>
      <c r="M36" s="78"/>
      <c r="N36" s="78">
        <f t="shared" si="0"/>
        <v>24000</v>
      </c>
      <c r="O36" s="81" t="s">
        <v>19</v>
      </c>
    </row>
    <row r="37" spans="1:15" ht="16.5" customHeight="1">
      <c r="A37" s="76" t="s">
        <v>134</v>
      </c>
      <c r="B37" s="76" t="s">
        <v>135</v>
      </c>
      <c r="C37" s="77" t="s">
        <v>26</v>
      </c>
      <c r="D37" s="78">
        <v>3961</v>
      </c>
      <c r="E37" s="79" t="s">
        <v>136</v>
      </c>
      <c r="F37" s="78"/>
      <c r="G37" s="80"/>
      <c r="H37" s="78"/>
      <c r="I37" s="78"/>
      <c r="J37" s="80"/>
      <c r="K37" s="78">
        <v>3961</v>
      </c>
      <c r="L37" s="79" t="s">
        <v>137</v>
      </c>
      <c r="M37" s="78"/>
      <c r="N37" s="78">
        <f t="shared" ref="N37:N68" si="1">MIN(D37, F37, H37, I37, K37, M37)</f>
        <v>3961</v>
      </c>
      <c r="O37" s="81" t="s">
        <v>19</v>
      </c>
    </row>
    <row r="38" spans="1:15" ht="16.5" customHeight="1">
      <c r="A38" s="76" t="s">
        <v>138</v>
      </c>
      <c r="B38" s="76" t="s">
        <v>139</v>
      </c>
      <c r="C38" s="77" t="s">
        <v>17</v>
      </c>
      <c r="D38" s="78">
        <v>5020</v>
      </c>
      <c r="E38" s="79" t="s">
        <v>140</v>
      </c>
      <c r="F38" s="78">
        <v>5510</v>
      </c>
      <c r="G38" s="79" t="s">
        <v>141</v>
      </c>
      <c r="H38" s="78">
        <v>3590</v>
      </c>
      <c r="I38" s="78"/>
      <c r="J38" s="80"/>
      <c r="K38" s="78">
        <v>5340</v>
      </c>
      <c r="L38" s="79" t="s">
        <v>142</v>
      </c>
      <c r="M38" s="78"/>
      <c r="N38" s="78">
        <f t="shared" si="1"/>
        <v>3590</v>
      </c>
      <c r="O38" s="81" t="s">
        <v>19</v>
      </c>
    </row>
    <row r="39" spans="1:15" ht="16.5" customHeight="1">
      <c r="A39" s="76" t="s">
        <v>143</v>
      </c>
      <c r="B39" s="76" t="s">
        <v>144</v>
      </c>
      <c r="C39" s="77" t="s">
        <v>17</v>
      </c>
      <c r="D39" s="78">
        <v>24500</v>
      </c>
      <c r="E39" s="79" t="s">
        <v>61</v>
      </c>
      <c r="F39" s="78">
        <v>28300</v>
      </c>
      <c r="G39" s="79" t="s">
        <v>62</v>
      </c>
      <c r="H39" s="78">
        <v>20830</v>
      </c>
      <c r="I39" s="78">
        <v>28300</v>
      </c>
      <c r="J39" s="79" t="s">
        <v>63</v>
      </c>
      <c r="K39" s="78"/>
      <c r="L39" s="80"/>
      <c r="M39" s="78"/>
      <c r="N39" s="78">
        <f t="shared" si="1"/>
        <v>20830</v>
      </c>
      <c r="O39" s="81" t="s">
        <v>19</v>
      </c>
    </row>
    <row r="40" spans="1:15" ht="16.5" customHeight="1">
      <c r="A40" s="76" t="s">
        <v>145</v>
      </c>
      <c r="B40" s="76" t="s">
        <v>146</v>
      </c>
      <c r="C40" s="77" t="s">
        <v>17</v>
      </c>
      <c r="D40" s="78">
        <v>8000</v>
      </c>
      <c r="E40" s="79" t="s">
        <v>61</v>
      </c>
      <c r="F40" s="78">
        <v>8900</v>
      </c>
      <c r="G40" s="79" t="s">
        <v>62</v>
      </c>
      <c r="H40" s="78"/>
      <c r="I40" s="78">
        <v>8900</v>
      </c>
      <c r="J40" s="79" t="s">
        <v>63</v>
      </c>
      <c r="K40" s="78"/>
      <c r="L40" s="80"/>
      <c r="M40" s="78"/>
      <c r="N40" s="78">
        <f t="shared" si="1"/>
        <v>8000</v>
      </c>
      <c r="O40" s="81" t="s">
        <v>19</v>
      </c>
    </row>
    <row r="41" spans="1:15" ht="16.5" customHeight="1">
      <c r="A41" s="76" t="s">
        <v>145</v>
      </c>
      <c r="B41" s="76" t="s">
        <v>133</v>
      </c>
      <c r="C41" s="77" t="s">
        <v>17</v>
      </c>
      <c r="D41" s="78">
        <v>24000</v>
      </c>
      <c r="E41" s="79" t="s">
        <v>61</v>
      </c>
      <c r="F41" s="78">
        <v>25200</v>
      </c>
      <c r="G41" s="79" t="s">
        <v>62</v>
      </c>
      <c r="H41" s="78"/>
      <c r="I41" s="78">
        <v>25200</v>
      </c>
      <c r="J41" s="79" t="s">
        <v>63</v>
      </c>
      <c r="K41" s="78"/>
      <c r="L41" s="80"/>
      <c r="M41" s="78"/>
      <c r="N41" s="78">
        <f t="shared" si="1"/>
        <v>24000</v>
      </c>
      <c r="O41" s="81" t="s">
        <v>19</v>
      </c>
    </row>
    <row r="42" spans="1:15" ht="16.5" customHeight="1">
      <c r="A42" s="76" t="s">
        <v>147</v>
      </c>
      <c r="B42" s="76" t="s">
        <v>148</v>
      </c>
      <c r="C42" s="77" t="s">
        <v>149</v>
      </c>
      <c r="D42" s="78"/>
      <c r="E42" s="80"/>
      <c r="F42" s="78">
        <v>240000</v>
      </c>
      <c r="G42" s="79" t="s">
        <v>150</v>
      </c>
      <c r="H42" s="78"/>
      <c r="I42" s="78"/>
      <c r="J42" s="80"/>
      <c r="K42" s="78"/>
      <c r="L42" s="80"/>
      <c r="M42" s="78"/>
      <c r="N42" s="78">
        <f t="shared" si="1"/>
        <v>240000</v>
      </c>
      <c r="O42" s="81" t="s">
        <v>19</v>
      </c>
    </row>
    <row r="43" spans="1:15" ht="16.5" customHeight="1">
      <c r="A43" s="76" t="s">
        <v>151</v>
      </c>
      <c r="B43" s="76" t="s">
        <v>152</v>
      </c>
      <c r="C43" s="77" t="s">
        <v>72</v>
      </c>
      <c r="D43" s="78">
        <v>2</v>
      </c>
      <c r="E43" s="79" t="s">
        <v>153</v>
      </c>
      <c r="F43" s="78">
        <v>2</v>
      </c>
      <c r="G43" s="79" t="s">
        <v>154</v>
      </c>
      <c r="H43" s="78">
        <v>2</v>
      </c>
      <c r="I43" s="78"/>
      <c r="J43" s="80"/>
      <c r="K43" s="78">
        <v>2</v>
      </c>
      <c r="L43" s="79" t="s">
        <v>76</v>
      </c>
      <c r="M43" s="78"/>
      <c r="N43" s="78">
        <f t="shared" si="1"/>
        <v>2</v>
      </c>
      <c r="O43" s="81" t="s">
        <v>19</v>
      </c>
    </row>
    <row r="44" spans="1:15" ht="16.5" customHeight="1">
      <c r="A44" s="76" t="s">
        <v>155</v>
      </c>
      <c r="B44" s="76" t="s">
        <v>156</v>
      </c>
      <c r="C44" s="77" t="s">
        <v>17</v>
      </c>
      <c r="D44" s="78"/>
      <c r="E44" s="80"/>
      <c r="F44" s="78"/>
      <c r="G44" s="80"/>
      <c r="H44" s="78"/>
      <c r="I44" s="78"/>
      <c r="J44" s="80"/>
      <c r="K44" s="78"/>
      <c r="L44" s="80"/>
      <c r="M44" s="78">
        <v>180000</v>
      </c>
      <c r="N44" s="78">
        <f t="shared" si="1"/>
        <v>180000</v>
      </c>
      <c r="O44" s="81" t="s">
        <v>19</v>
      </c>
    </row>
    <row r="45" spans="1:15" ht="16.5" customHeight="1">
      <c r="A45" s="76" t="s">
        <v>157</v>
      </c>
      <c r="B45" s="76" t="s">
        <v>158</v>
      </c>
      <c r="C45" s="77" t="s">
        <v>17</v>
      </c>
      <c r="D45" s="78"/>
      <c r="E45" s="80"/>
      <c r="F45" s="78">
        <v>63000</v>
      </c>
      <c r="G45" s="79" t="s">
        <v>159</v>
      </c>
      <c r="H45" s="78"/>
      <c r="I45" s="78"/>
      <c r="J45" s="80"/>
      <c r="K45" s="78"/>
      <c r="L45" s="80"/>
      <c r="M45" s="78"/>
      <c r="N45" s="78">
        <f t="shared" si="1"/>
        <v>63000</v>
      </c>
      <c r="O45" s="81" t="s">
        <v>19</v>
      </c>
    </row>
    <row r="46" spans="1:15" ht="16.5" customHeight="1">
      <c r="A46" s="76" t="s">
        <v>160</v>
      </c>
      <c r="B46" s="76" t="s">
        <v>161</v>
      </c>
      <c r="C46" s="77" t="s">
        <v>26</v>
      </c>
      <c r="D46" s="78">
        <v>2037</v>
      </c>
      <c r="E46" s="79" t="s">
        <v>162</v>
      </c>
      <c r="F46" s="78">
        <v>2592</v>
      </c>
      <c r="G46" s="79" t="s">
        <v>163</v>
      </c>
      <c r="H46" s="78">
        <v>1830</v>
      </c>
      <c r="I46" s="78">
        <v>2037</v>
      </c>
      <c r="J46" s="79" t="s">
        <v>164</v>
      </c>
      <c r="K46" s="78">
        <v>2283</v>
      </c>
      <c r="L46" s="79" t="s">
        <v>165</v>
      </c>
      <c r="M46" s="78"/>
      <c r="N46" s="78">
        <f t="shared" si="1"/>
        <v>1830</v>
      </c>
      <c r="O46" s="81" t="s">
        <v>19</v>
      </c>
    </row>
    <row r="47" spans="1:15" ht="16.5" customHeight="1">
      <c r="A47" s="76" t="s">
        <v>160</v>
      </c>
      <c r="B47" s="76" t="s">
        <v>166</v>
      </c>
      <c r="C47" s="77" t="s">
        <v>26</v>
      </c>
      <c r="D47" s="78">
        <v>3209</v>
      </c>
      <c r="E47" s="79" t="s">
        <v>167</v>
      </c>
      <c r="F47" s="78">
        <v>4197</v>
      </c>
      <c r="G47" s="79" t="s">
        <v>168</v>
      </c>
      <c r="H47" s="78"/>
      <c r="I47" s="78"/>
      <c r="J47" s="80"/>
      <c r="K47" s="78"/>
      <c r="L47" s="80"/>
      <c r="M47" s="78"/>
      <c r="N47" s="78">
        <f t="shared" si="1"/>
        <v>3209</v>
      </c>
      <c r="O47" s="81" t="s">
        <v>19</v>
      </c>
    </row>
    <row r="48" spans="1:15" ht="16.5" customHeight="1">
      <c r="A48" s="76" t="s">
        <v>169</v>
      </c>
      <c r="B48" s="76" t="s">
        <v>170</v>
      </c>
      <c r="C48" s="77" t="s">
        <v>171</v>
      </c>
      <c r="D48" s="78"/>
      <c r="E48" s="80"/>
      <c r="F48" s="78">
        <v>120000</v>
      </c>
      <c r="G48" s="79" t="s">
        <v>172</v>
      </c>
      <c r="H48" s="78"/>
      <c r="I48" s="78"/>
      <c r="J48" s="80"/>
      <c r="K48" s="78"/>
      <c r="L48" s="80"/>
      <c r="M48" s="78"/>
      <c r="N48" s="78">
        <f t="shared" si="1"/>
        <v>120000</v>
      </c>
      <c r="O48" s="81" t="s">
        <v>19</v>
      </c>
    </row>
    <row r="49" spans="1:15" ht="16.5" customHeight="1">
      <c r="A49" s="76" t="s">
        <v>169</v>
      </c>
      <c r="B49" s="76" t="s">
        <v>173</v>
      </c>
      <c r="C49" s="77" t="s">
        <v>171</v>
      </c>
      <c r="D49" s="78">
        <v>95000</v>
      </c>
      <c r="E49" s="79" t="s">
        <v>174</v>
      </c>
      <c r="F49" s="78"/>
      <c r="G49" s="80"/>
      <c r="H49" s="78"/>
      <c r="I49" s="78"/>
      <c r="J49" s="80"/>
      <c r="K49" s="78"/>
      <c r="L49" s="80"/>
      <c r="M49" s="78"/>
      <c r="N49" s="78">
        <f t="shared" si="1"/>
        <v>95000</v>
      </c>
      <c r="O49" s="81" t="s">
        <v>19</v>
      </c>
    </row>
    <row r="50" spans="1:15" ht="16.5" customHeight="1">
      <c r="A50" s="76" t="s">
        <v>175</v>
      </c>
      <c r="B50" s="76" t="s">
        <v>176</v>
      </c>
      <c r="C50" s="77" t="s">
        <v>17</v>
      </c>
      <c r="D50" s="78">
        <v>74000</v>
      </c>
      <c r="E50" s="79" t="s">
        <v>177</v>
      </c>
      <c r="F50" s="78"/>
      <c r="G50" s="80"/>
      <c r="H50" s="78"/>
      <c r="I50" s="78"/>
      <c r="J50" s="80"/>
      <c r="K50" s="78"/>
      <c r="L50" s="80"/>
      <c r="M50" s="78"/>
      <c r="N50" s="78">
        <f t="shared" si="1"/>
        <v>74000</v>
      </c>
      <c r="O50" s="81" t="s">
        <v>19</v>
      </c>
    </row>
    <row r="51" spans="1:15" ht="16.5" customHeight="1">
      <c r="A51" s="76" t="s">
        <v>178</v>
      </c>
      <c r="B51" s="76" t="s">
        <v>179</v>
      </c>
      <c r="C51" s="77" t="s">
        <v>17</v>
      </c>
      <c r="D51" s="78">
        <v>165000</v>
      </c>
      <c r="E51" s="79" t="s">
        <v>177</v>
      </c>
      <c r="F51" s="78"/>
      <c r="G51" s="80"/>
      <c r="H51" s="78"/>
      <c r="I51" s="78"/>
      <c r="J51" s="80"/>
      <c r="K51" s="78"/>
      <c r="L51" s="80"/>
      <c r="M51" s="78"/>
      <c r="N51" s="78">
        <f t="shared" si="1"/>
        <v>165000</v>
      </c>
      <c r="O51" s="81" t="s">
        <v>19</v>
      </c>
    </row>
    <row r="52" spans="1:15" ht="16.5" customHeight="1">
      <c r="A52" s="76" t="s">
        <v>180</v>
      </c>
      <c r="B52" s="76" t="s">
        <v>181</v>
      </c>
      <c r="C52" s="77" t="s">
        <v>26</v>
      </c>
      <c r="D52" s="78">
        <v>310000</v>
      </c>
      <c r="E52" s="79" t="s">
        <v>182</v>
      </c>
      <c r="F52" s="78"/>
      <c r="G52" s="80"/>
      <c r="H52" s="78"/>
      <c r="I52" s="78"/>
      <c r="J52" s="80"/>
      <c r="K52" s="78"/>
      <c r="L52" s="80"/>
      <c r="M52" s="78"/>
      <c r="N52" s="78">
        <f t="shared" si="1"/>
        <v>310000</v>
      </c>
      <c r="O52" s="81" t="s">
        <v>183</v>
      </c>
    </row>
    <row r="53" spans="1:15" ht="16.5" customHeight="1">
      <c r="A53" s="76" t="s">
        <v>184</v>
      </c>
      <c r="B53" s="76" t="s">
        <v>181</v>
      </c>
      <c r="C53" s="77" t="s">
        <v>26</v>
      </c>
      <c r="D53" s="78">
        <v>315000</v>
      </c>
      <c r="E53" s="79" t="s">
        <v>182</v>
      </c>
      <c r="F53" s="78"/>
      <c r="G53" s="80"/>
      <c r="H53" s="78"/>
      <c r="I53" s="78"/>
      <c r="J53" s="80"/>
      <c r="K53" s="78"/>
      <c r="L53" s="80"/>
      <c r="M53" s="78"/>
      <c r="N53" s="78">
        <f t="shared" si="1"/>
        <v>315000</v>
      </c>
      <c r="O53" s="81" t="s">
        <v>183</v>
      </c>
    </row>
    <row r="54" spans="1:15" ht="16.5" customHeight="1">
      <c r="A54" s="76" t="s">
        <v>185</v>
      </c>
      <c r="B54" s="76" t="s">
        <v>19</v>
      </c>
      <c r="C54" s="77" t="s">
        <v>17</v>
      </c>
      <c r="D54" s="78">
        <v>24500</v>
      </c>
      <c r="E54" s="79" t="s">
        <v>61</v>
      </c>
      <c r="F54" s="78">
        <v>28300</v>
      </c>
      <c r="G54" s="79" t="s">
        <v>62</v>
      </c>
      <c r="H54" s="78"/>
      <c r="I54" s="78">
        <v>28300</v>
      </c>
      <c r="J54" s="79" t="s">
        <v>63</v>
      </c>
      <c r="K54" s="78"/>
      <c r="L54" s="80"/>
      <c r="M54" s="78"/>
      <c r="N54" s="78">
        <f t="shared" si="1"/>
        <v>24500</v>
      </c>
      <c r="O54" s="81" t="s">
        <v>186</v>
      </c>
    </row>
    <row r="55" spans="1:15" ht="16.5" customHeight="1">
      <c r="A55" s="76" t="s">
        <v>187</v>
      </c>
      <c r="B55" s="76" t="s">
        <v>188</v>
      </c>
      <c r="C55" s="77" t="s">
        <v>72</v>
      </c>
      <c r="D55" s="78">
        <v>3505</v>
      </c>
      <c r="E55" s="79" t="s">
        <v>189</v>
      </c>
      <c r="F55" s="78">
        <v>2972</v>
      </c>
      <c r="G55" s="79" t="s">
        <v>80</v>
      </c>
      <c r="H55" s="78">
        <v>2470</v>
      </c>
      <c r="I55" s="78">
        <v>2972</v>
      </c>
      <c r="J55" s="79" t="s">
        <v>81</v>
      </c>
      <c r="K55" s="78"/>
      <c r="L55" s="80"/>
      <c r="M55" s="78"/>
      <c r="N55" s="78">
        <f t="shared" si="1"/>
        <v>2470</v>
      </c>
      <c r="O55" s="81" t="s">
        <v>19</v>
      </c>
    </row>
    <row r="56" spans="1:15" ht="16.5" customHeight="1">
      <c r="A56" s="76" t="s">
        <v>190</v>
      </c>
      <c r="B56" s="76" t="s">
        <v>133</v>
      </c>
      <c r="C56" s="77" t="s">
        <v>17</v>
      </c>
      <c r="D56" s="78">
        <v>24000</v>
      </c>
      <c r="E56" s="79" t="s">
        <v>61</v>
      </c>
      <c r="F56" s="78">
        <v>25200</v>
      </c>
      <c r="G56" s="79" t="s">
        <v>62</v>
      </c>
      <c r="H56" s="78"/>
      <c r="I56" s="78">
        <v>25200</v>
      </c>
      <c r="J56" s="79" t="s">
        <v>63</v>
      </c>
      <c r="K56" s="78"/>
      <c r="L56" s="80"/>
      <c r="M56" s="78"/>
      <c r="N56" s="78">
        <f t="shared" si="1"/>
        <v>24000</v>
      </c>
      <c r="O56" s="81" t="s">
        <v>19</v>
      </c>
    </row>
    <row r="57" spans="1:15" ht="16.5" customHeight="1">
      <c r="A57" s="76" t="s">
        <v>191</v>
      </c>
      <c r="B57" s="76" t="s">
        <v>192</v>
      </c>
      <c r="C57" s="77" t="s">
        <v>26</v>
      </c>
      <c r="D57" s="78"/>
      <c r="E57" s="80"/>
      <c r="F57" s="78">
        <v>5000</v>
      </c>
      <c r="G57" s="79" t="s">
        <v>193</v>
      </c>
      <c r="H57" s="78"/>
      <c r="I57" s="78">
        <v>5000</v>
      </c>
      <c r="J57" s="79" t="s">
        <v>194</v>
      </c>
      <c r="K57" s="78"/>
      <c r="L57" s="80"/>
      <c r="M57" s="78"/>
      <c r="N57" s="78">
        <f t="shared" si="1"/>
        <v>5000</v>
      </c>
      <c r="O57" s="81" t="s">
        <v>19</v>
      </c>
    </row>
    <row r="58" spans="1:15" ht="16.5" customHeight="1">
      <c r="A58" s="76" t="s">
        <v>195</v>
      </c>
      <c r="B58" s="76" t="s">
        <v>196</v>
      </c>
      <c r="C58" s="77" t="s">
        <v>58</v>
      </c>
      <c r="D58" s="78">
        <v>3550</v>
      </c>
      <c r="E58" s="79" t="s">
        <v>197</v>
      </c>
      <c r="F58" s="78">
        <v>4109</v>
      </c>
      <c r="G58" s="79" t="s">
        <v>198</v>
      </c>
      <c r="H58" s="78">
        <v>3380</v>
      </c>
      <c r="I58" s="78">
        <v>3590</v>
      </c>
      <c r="J58" s="79" t="s">
        <v>199</v>
      </c>
      <c r="K58" s="78">
        <v>3720</v>
      </c>
      <c r="L58" s="79" t="s">
        <v>200</v>
      </c>
      <c r="M58" s="78"/>
      <c r="N58" s="78">
        <f t="shared" si="1"/>
        <v>3380</v>
      </c>
      <c r="O58" s="81" t="s">
        <v>19</v>
      </c>
    </row>
    <row r="59" spans="1:15" ht="16.5" customHeight="1">
      <c r="A59" s="76" t="s">
        <v>201</v>
      </c>
      <c r="B59" s="76" t="s">
        <v>202</v>
      </c>
      <c r="C59" s="77" t="s">
        <v>17</v>
      </c>
      <c r="D59" s="78"/>
      <c r="E59" s="80"/>
      <c r="F59" s="78">
        <v>1847</v>
      </c>
      <c r="G59" s="79" t="s">
        <v>203</v>
      </c>
      <c r="H59" s="78"/>
      <c r="I59" s="78"/>
      <c r="J59" s="80"/>
      <c r="K59" s="78"/>
      <c r="L59" s="80"/>
      <c r="M59" s="78"/>
      <c r="N59" s="78">
        <f t="shared" si="1"/>
        <v>1847</v>
      </c>
      <c r="O59" s="81" t="s">
        <v>19</v>
      </c>
    </row>
    <row r="60" spans="1:15" ht="16.5" customHeight="1">
      <c r="A60" s="76" t="s">
        <v>201</v>
      </c>
      <c r="B60" s="76" t="s">
        <v>204</v>
      </c>
      <c r="C60" s="77" t="s">
        <v>17</v>
      </c>
      <c r="D60" s="78"/>
      <c r="E60" s="80"/>
      <c r="F60" s="78">
        <v>4160</v>
      </c>
      <c r="G60" s="79" t="s">
        <v>203</v>
      </c>
      <c r="H60" s="78"/>
      <c r="I60" s="78"/>
      <c r="J60" s="80"/>
      <c r="K60" s="78"/>
      <c r="L60" s="80"/>
      <c r="M60" s="78"/>
      <c r="N60" s="78">
        <f t="shared" si="1"/>
        <v>4160</v>
      </c>
      <c r="O60" s="81" t="s">
        <v>19</v>
      </c>
    </row>
    <row r="61" spans="1:15" ht="16.5" customHeight="1">
      <c r="A61" s="76" t="s">
        <v>201</v>
      </c>
      <c r="B61" s="76" t="s">
        <v>205</v>
      </c>
      <c r="C61" s="77" t="s">
        <v>17</v>
      </c>
      <c r="D61" s="78"/>
      <c r="E61" s="80"/>
      <c r="F61" s="78">
        <v>2329</v>
      </c>
      <c r="G61" s="79" t="s">
        <v>203</v>
      </c>
      <c r="H61" s="78"/>
      <c r="I61" s="78"/>
      <c r="J61" s="80"/>
      <c r="K61" s="78"/>
      <c r="L61" s="80"/>
      <c r="M61" s="78"/>
      <c r="N61" s="78">
        <f t="shared" si="1"/>
        <v>2329</v>
      </c>
      <c r="O61" s="81" t="s">
        <v>19</v>
      </c>
    </row>
    <row r="62" spans="1:15" ht="16.5" customHeight="1">
      <c r="A62" s="76" t="s">
        <v>206</v>
      </c>
      <c r="B62" s="76" t="s">
        <v>139</v>
      </c>
      <c r="C62" s="77" t="s">
        <v>34</v>
      </c>
      <c r="D62" s="78">
        <v>6350</v>
      </c>
      <c r="E62" s="79" t="s">
        <v>207</v>
      </c>
      <c r="F62" s="78">
        <v>6101</v>
      </c>
      <c r="G62" s="79" t="s">
        <v>208</v>
      </c>
      <c r="H62" s="78">
        <v>4881</v>
      </c>
      <c r="I62" s="78">
        <v>6320</v>
      </c>
      <c r="J62" s="79" t="s">
        <v>209</v>
      </c>
      <c r="K62" s="78">
        <v>6177</v>
      </c>
      <c r="L62" s="79" t="s">
        <v>210</v>
      </c>
      <c r="M62" s="78"/>
      <c r="N62" s="78">
        <f t="shared" si="1"/>
        <v>4881</v>
      </c>
      <c r="O62" s="81" t="s">
        <v>19</v>
      </c>
    </row>
    <row r="63" spans="1:15" ht="16.5" customHeight="1">
      <c r="A63" s="76" t="s">
        <v>211</v>
      </c>
      <c r="B63" s="76" t="s">
        <v>212</v>
      </c>
      <c r="C63" s="77" t="s">
        <v>17</v>
      </c>
      <c r="D63" s="78">
        <v>260</v>
      </c>
      <c r="E63" s="79" t="s">
        <v>213</v>
      </c>
      <c r="F63" s="78">
        <v>274</v>
      </c>
      <c r="G63" s="79" t="s">
        <v>214</v>
      </c>
      <c r="H63" s="78"/>
      <c r="I63" s="78"/>
      <c r="J63" s="80"/>
      <c r="K63" s="78"/>
      <c r="L63" s="80"/>
      <c r="M63" s="78"/>
      <c r="N63" s="78">
        <f t="shared" si="1"/>
        <v>260</v>
      </c>
      <c r="O63" s="81" t="s">
        <v>19</v>
      </c>
    </row>
    <row r="64" spans="1:15" ht="16.5" customHeight="1">
      <c r="A64" s="76" t="s">
        <v>215</v>
      </c>
      <c r="B64" s="76" t="s">
        <v>216</v>
      </c>
      <c r="C64" s="77" t="s">
        <v>58</v>
      </c>
      <c r="D64" s="78">
        <v>102</v>
      </c>
      <c r="E64" s="79" t="s">
        <v>217</v>
      </c>
      <c r="F64" s="78">
        <v>102</v>
      </c>
      <c r="G64" s="79" t="s">
        <v>218</v>
      </c>
      <c r="H64" s="78"/>
      <c r="I64" s="78"/>
      <c r="J64" s="80"/>
      <c r="K64" s="78">
        <v>104</v>
      </c>
      <c r="L64" s="79" t="s">
        <v>219</v>
      </c>
      <c r="M64" s="78"/>
      <c r="N64" s="78">
        <f t="shared" si="1"/>
        <v>102</v>
      </c>
      <c r="O64" s="81" t="s">
        <v>19</v>
      </c>
    </row>
    <row r="65" spans="1:15" ht="16.5" customHeight="1">
      <c r="A65" s="76" t="s">
        <v>220</v>
      </c>
      <c r="B65" s="76" t="s">
        <v>19</v>
      </c>
      <c r="C65" s="77" t="s">
        <v>221</v>
      </c>
      <c r="D65" s="78">
        <v>70</v>
      </c>
      <c r="E65" s="79" t="s">
        <v>222</v>
      </c>
      <c r="F65" s="78">
        <v>60</v>
      </c>
      <c r="G65" s="79" t="s">
        <v>223</v>
      </c>
      <c r="H65" s="78"/>
      <c r="I65" s="78">
        <v>70</v>
      </c>
      <c r="J65" s="79" t="s">
        <v>224</v>
      </c>
      <c r="K65" s="78">
        <v>70</v>
      </c>
      <c r="L65" s="79" t="s">
        <v>225</v>
      </c>
      <c r="M65" s="78"/>
      <c r="N65" s="78">
        <f t="shared" si="1"/>
        <v>60</v>
      </c>
      <c r="O65" s="81" t="s">
        <v>19</v>
      </c>
    </row>
    <row r="66" spans="1:15" ht="16.5" customHeight="1">
      <c r="A66" s="76" t="s">
        <v>226</v>
      </c>
      <c r="B66" s="76" t="s">
        <v>227</v>
      </c>
      <c r="C66" s="77" t="s">
        <v>72</v>
      </c>
      <c r="D66" s="78">
        <v>2711</v>
      </c>
      <c r="E66" s="79" t="s">
        <v>228</v>
      </c>
      <c r="F66" s="78">
        <v>1777</v>
      </c>
      <c r="G66" s="79" t="s">
        <v>80</v>
      </c>
      <c r="H66" s="78">
        <v>1780</v>
      </c>
      <c r="I66" s="78">
        <v>1777</v>
      </c>
      <c r="J66" s="79" t="s">
        <v>81</v>
      </c>
      <c r="K66" s="78">
        <v>1777</v>
      </c>
      <c r="L66" s="79" t="s">
        <v>229</v>
      </c>
      <c r="M66" s="78"/>
      <c r="N66" s="78">
        <f t="shared" si="1"/>
        <v>1777</v>
      </c>
      <c r="O66" s="81" t="s">
        <v>19</v>
      </c>
    </row>
    <row r="67" spans="1:15" ht="16.5" customHeight="1">
      <c r="A67" s="76" t="s">
        <v>230</v>
      </c>
      <c r="B67" s="76" t="s">
        <v>231</v>
      </c>
      <c r="C67" s="77" t="s">
        <v>72</v>
      </c>
      <c r="D67" s="78"/>
      <c r="E67" s="80"/>
      <c r="F67" s="78">
        <v>10000</v>
      </c>
      <c r="G67" s="79" t="s">
        <v>232</v>
      </c>
      <c r="H67" s="78">
        <v>9310</v>
      </c>
      <c r="I67" s="78"/>
      <c r="J67" s="80"/>
      <c r="K67" s="78"/>
      <c r="L67" s="80"/>
      <c r="M67" s="78"/>
      <c r="N67" s="78">
        <f t="shared" si="1"/>
        <v>9310</v>
      </c>
      <c r="O67" s="81" t="s">
        <v>19</v>
      </c>
    </row>
    <row r="68" spans="1:15" ht="16.5" customHeight="1">
      <c r="A68" s="76" t="s">
        <v>233</v>
      </c>
      <c r="B68" s="76" t="s">
        <v>234</v>
      </c>
      <c r="C68" s="77" t="s">
        <v>72</v>
      </c>
      <c r="D68" s="78"/>
      <c r="E68" s="80"/>
      <c r="F68" s="78"/>
      <c r="G68" s="80"/>
      <c r="H68" s="78">
        <v>6300</v>
      </c>
      <c r="I68" s="78"/>
      <c r="J68" s="80"/>
      <c r="K68" s="78"/>
      <c r="L68" s="80"/>
      <c r="M68" s="78"/>
      <c r="N68" s="78">
        <f t="shared" si="1"/>
        <v>6300</v>
      </c>
      <c r="O68" s="81" t="s">
        <v>19</v>
      </c>
    </row>
    <row r="69" spans="1:15" ht="16.5" customHeight="1">
      <c r="A69" s="76" t="s">
        <v>235</v>
      </c>
      <c r="B69" s="76" t="s">
        <v>236</v>
      </c>
      <c r="C69" s="77" t="s">
        <v>237</v>
      </c>
      <c r="D69" s="78"/>
      <c r="E69" s="80"/>
      <c r="F69" s="78"/>
      <c r="G69" s="80"/>
      <c r="H69" s="78"/>
      <c r="I69" s="78"/>
      <c r="J69" s="80"/>
      <c r="K69" s="78"/>
      <c r="L69" s="80"/>
      <c r="M69" s="78">
        <v>600000</v>
      </c>
      <c r="N69" s="78">
        <f t="shared" ref="N69:N100" si="2">MIN(D69, F69, H69, I69, K69, M69)</f>
        <v>600000</v>
      </c>
      <c r="O69" s="81" t="s">
        <v>19</v>
      </c>
    </row>
    <row r="70" spans="1:15" ht="16.5" customHeight="1">
      <c r="A70" s="76" t="s">
        <v>238</v>
      </c>
      <c r="B70" s="76" t="s">
        <v>239</v>
      </c>
      <c r="C70" s="77" t="s">
        <v>17</v>
      </c>
      <c r="D70" s="78"/>
      <c r="E70" s="80"/>
      <c r="F70" s="78">
        <v>52000</v>
      </c>
      <c r="G70" s="79" t="s">
        <v>159</v>
      </c>
      <c r="H70" s="78"/>
      <c r="I70" s="78"/>
      <c r="J70" s="80"/>
      <c r="K70" s="78"/>
      <c r="L70" s="80"/>
      <c r="M70" s="78"/>
      <c r="N70" s="78">
        <f t="shared" si="2"/>
        <v>52000</v>
      </c>
      <c r="O70" s="81" t="s">
        <v>19</v>
      </c>
    </row>
    <row r="71" spans="1:15" ht="16.5" customHeight="1">
      <c r="A71" s="76" t="s">
        <v>240</v>
      </c>
      <c r="B71" s="76" t="s">
        <v>19</v>
      </c>
      <c r="C71" s="77" t="s">
        <v>58</v>
      </c>
      <c r="D71" s="78">
        <v>11000</v>
      </c>
      <c r="E71" s="79" t="s">
        <v>153</v>
      </c>
      <c r="F71" s="78">
        <v>13000</v>
      </c>
      <c r="G71" s="79" t="s">
        <v>154</v>
      </c>
      <c r="H71" s="78">
        <v>9500</v>
      </c>
      <c r="I71" s="78"/>
      <c r="J71" s="80"/>
      <c r="K71" s="78">
        <v>10000</v>
      </c>
      <c r="L71" s="79" t="s">
        <v>76</v>
      </c>
      <c r="M71" s="78"/>
      <c r="N71" s="78">
        <f t="shared" si="2"/>
        <v>9500</v>
      </c>
      <c r="O71" s="81" t="s">
        <v>241</v>
      </c>
    </row>
    <row r="72" spans="1:15" ht="16.5" customHeight="1">
      <c r="A72" s="76" t="s">
        <v>242</v>
      </c>
      <c r="B72" s="76" t="s">
        <v>139</v>
      </c>
      <c r="C72" s="77" t="s">
        <v>34</v>
      </c>
      <c r="D72" s="78"/>
      <c r="E72" s="80"/>
      <c r="F72" s="78">
        <v>2403</v>
      </c>
      <c r="G72" s="79" t="s">
        <v>243</v>
      </c>
      <c r="H72" s="78">
        <v>1380</v>
      </c>
      <c r="I72" s="78"/>
      <c r="J72" s="80"/>
      <c r="K72" s="78"/>
      <c r="L72" s="80"/>
      <c r="M72" s="78"/>
      <c r="N72" s="78">
        <f t="shared" si="2"/>
        <v>1380</v>
      </c>
      <c r="O72" s="81" t="s">
        <v>19</v>
      </c>
    </row>
    <row r="73" spans="1:15" ht="16.5" customHeight="1">
      <c r="A73" s="76" t="s">
        <v>244</v>
      </c>
      <c r="B73" s="76" t="s">
        <v>245</v>
      </c>
      <c r="C73" s="77" t="s">
        <v>17</v>
      </c>
      <c r="D73" s="78"/>
      <c r="E73" s="80"/>
      <c r="F73" s="78">
        <v>270000</v>
      </c>
      <c r="G73" s="79" t="s">
        <v>246</v>
      </c>
      <c r="H73" s="78"/>
      <c r="I73" s="78"/>
      <c r="J73" s="80"/>
      <c r="K73" s="78"/>
      <c r="L73" s="80"/>
      <c r="M73" s="78"/>
      <c r="N73" s="78">
        <f t="shared" si="2"/>
        <v>270000</v>
      </c>
      <c r="O73" s="81" t="s">
        <v>19</v>
      </c>
    </row>
    <row r="74" spans="1:15" ht="16.5" customHeight="1">
      <c r="A74" s="76" t="s">
        <v>247</v>
      </c>
      <c r="B74" s="76" t="s">
        <v>248</v>
      </c>
      <c r="C74" s="77" t="s">
        <v>17</v>
      </c>
      <c r="D74" s="78">
        <v>10740</v>
      </c>
      <c r="E74" s="79" t="s">
        <v>249</v>
      </c>
      <c r="F74" s="78"/>
      <c r="G74" s="80"/>
      <c r="H74" s="78"/>
      <c r="I74" s="78"/>
      <c r="J74" s="80"/>
      <c r="K74" s="78"/>
      <c r="L74" s="80"/>
      <c r="M74" s="78"/>
      <c r="N74" s="78">
        <f t="shared" si="2"/>
        <v>10740</v>
      </c>
      <c r="O74" s="81" t="s">
        <v>19</v>
      </c>
    </row>
    <row r="75" spans="1:15" ht="16.5" customHeight="1">
      <c r="A75" s="76" t="s">
        <v>250</v>
      </c>
      <c r="B75" s="76" t="s">
        <v>894</v>
      </c>
      <c r="C75" s="77" t="s">
        <v>221</v>
      </c>
      <c r="D75" s="78">
        <v>230</v>
      </c>
      <c r="E75" s="79" t="s">
        <v>252</v>
      </c>
      <c r="F75" s="78">
        <v>275</v>
      </c>
      <c r="G75" s="79" t="s">
        <v>253</v>
      </c>
      <c r="H75" s="78"/>
      <c r="I75" s="78">
        <v>275</v>
      </c>
      <c r="J75" s="79" t="s">
        <v>254</v>
      </c>
      <c r="K75" s="78">
        <v>230</v>
      </c>
      <c r="L75" s="79" t="s">
        <v>255</v>
      </c>
      <c r="M75" s="78"/>
      <c r="N75" s="78">
        <f t="shared" si="2"/>
        <v>230</v>
      </c>
      <c r="O75" s="81" t="s">
        <v>19</v>
      </c>
    </row>
    <row r="76" spans="1:15" ht="16.5" customHeight="1">
      <c r="A76" s="76" t="s">
        <v>250</v>
      </c>
      <c r="B76" s="76" t="s">
        <v>251</v>
      </c>
      <c r="C76" s="77" t="s">
        <v>221</v>
      </c>
      <c r="D76" s="78">
        <v>220</v>
      </c>
      <c r="E76" s="79" t="s">
        <v>252</v>
      </c>
      <c r="F76" s="78">
        <v>275</v>
      </c>
      <c r="G76" s="79" t="s">
        <v>253</v>
      </c>
      <c r="H76" s="78">
        <v>200</v>
      </c>
      <c r="I76" s="78">
        <v>275</v>
      </c>
      <c r="J76" s="79" t="s">
        <v>254</v>
      </c>
      <c r="K76" s="78">
        <v>230</v>
      </c>
      <c r="L76" s="79" t="s">
        <v>255</v>
      </c>
      <c r="M76" s="78"/>
      <c r="N76" s="78">
        <f t="shared" si="2"/>
        <v>200</v>
      </c>
      <c r="O76" s="81" t="s">
        <v>19</v>
      </c>
    </row>
    <row r="77" spans="1:15" ht="16.5" customHeight="1">
      <c r="A77" s="76" t="s">
        <v>256</v>
      </c>
      <c r="B77" s="76" t="s">
        <v>257</v>
      </c>
      <c r="C77" s="77" t="s">
        <v>17</v>
      </c>
      <c r="D77" s="78"/>
      <c r="E77" s="80"/>
      <c r="F77" s="78">
        <v>238000</v>
      </c>
      <c r="G77" s="79" t="s">
        <v>258</v>
      </c>
      <c r="H77" s="78"/>
      <c r="I77" s="78"/>
      <c r="J77" s="80"/>
      <c r="K77" s="78"/>
      <c r="L77" s="80"/>
      <c r="M77" s="78"/>
      <c r="N77" s="78">
        <f t="shared" si="2"/>
        <v>238000</v>
      </c>
      <c r="O77" s="81" t="s">
        <v>19</v>
      </c>
    </row>
    <row r="78" spans="1:15" ht="16.5" customHeight="1">
      <c r="A78" s="76" t="s">
        <v>259</v>
      </c>
      <c r="B78" s="76" t="s">
        <v>260</v>
      </c>
      <c r="C78" s="77" t="s">
        <v>58</v>
      </c>
      <c r="D78" s="78">
        <v>2020</v>
      </c>
      <c r="E78" s="79" t="s">
        <v>261</v>
      </c>
      <c r="F78" s="78"/>
      <c r="G78" s="80"/>
      <c r="H78" s="78"/>
      <c r="I78" s="78"/>
      <c r="J78" s="80"/>
      <c r="K78" s="78"/>
      <c r="L78" s="80"/>
      <c r="M78" s="78"/>
      <c r="N78" s="78">
        <f t="shared" si="2"/>
        <v>2020</v>
      </c>
      <c r="O78" s="81" t="s">
        <v>19</v>
      </c>
    </row>
    <row r="79" spans="1:15" ht="16.5" customHeight="1">
      <c r="A79" s="76" t="s">
        <v>262</v>
      </c>
      <c r="B79" s="76" t="s">
        <v>263</v>
      </c>
      <c r="C79" s="77" t="s">
        <v>58</v>
      </c>
      <c r="D79" s="78">
        <v>9160</v>
      </c>
      <c r="E79" s="79" t="s">
        <v>264</v>
      </c>
      <c r="F79" s="78">
        <v>8880</v>
      </c>
      <c r="G79" s="79" t="s">
        <v>265</v>
      </c>
      <c r="H79" s="78"/>
      <c r="I79" s="78">
        <v>8880</v>
      </c>
      <c r="J79" s="79" t="s">
        <v>266</v>
      </c>
      <c r="K79" s="78">
        <v>8880</v>
      </c>
      <c r="L79" s="79" t="s">
        <v>267</v>
      </c>
      <c r="M79" s="78"/>
      <c r="N79" s="78">
        <f t="shared" si="2"/>
        <v>8880</v>
      </c>
      <c r="O79" s="81" t="s">
        <v>19</v>
      </c>
    </row>
    <row r="80" spans="1:15" ht="16.5" customHeight="1">
      <c r="A80" s="76" t="s">
        <v>268</v>
      </c>
      <c r="B80" s="76" t="s">
        <v>269</v>
      </c>
      <c r="C80" s="77" t="s">
        <v>58</v>
      </c>
      <c r="D80" s="78">
        <v>3150</v>
      </c>
      <c r="E80" s="79" t="s">
        <v>264</v>
      </c>
      <c r="F80" s="78"/>
      <c r="G80" s="80"/>
      <c r="H80" s="78"/>
      <c r="I80" s="78"/>
      <c r="J80" s="80"/>
      <c r="K80" s="78"/>
      <c r="L80" s="80"/>
      <c r="M80" s="78"/>
      <c r="N80" s="78">
        <f t="shared" si="2"/>
        <v>3150</v>
      </c>
      <c r="O80" s="81" t="s">
        <v>19</v>
      </c>
    </row>
    <row r="81" spans="1:15" ht="16.5" customHeight="1">
      <c r="A81" s="76" t="s">
        <v>270</v>
      </c>
      <c r="B81" s="76" t="s">
        <v>271</v>
      </c>
      <c r="C81" s="77" t="s">
        <v>272</v>
      </c>
      <c r="D81" s="78"/>
      <c r="E81" s="80"/>
      <c r="F81" s="78"/>
      <c r="G81" s="80"/>
      <c r="H81" s="78"/>
      <c r="I81" s="78"/>
      <c r="J81" s="80"/>
      <c r="K81" s="78"/>
      <c r="L81" s="80"/>
      <c r="M81" s="78">
        <v>2842</v>
      </c>
      <c r="N81" s="78">
        <f t="shared" si="2"/>
        <v>2842</v>
      </c>
      <c r="O81" s="81" t="s">
        <v>273</v>
      </c>
    </row>
    <row r="82" spans="1:15" ht="16.5" customHeight="1">
      <c r="A82" s="76" t="s">
        <v>274</v>
      </c>
      <c r="B82" s="76" t="s">
        <v>275</v>
      </c>
      <c r="C82" s="77" t="s">
        <v>276</v>
      </c>
      <c r="D82" s="78"/>
      <c r="E82" s="80"/>
      <c r="F82" s="78"/>
      <c r="G82" s="80"/>
      <c r="H82" s="78">
        <v>17200</v>
      </c>
      <c r="I82" s="78"/>
      <c r="J82" s="80"/>
      <c r="K82" s="78"/>
      <c r="L82" s="80"/>
      <c r="M82" s="78"/>
      <c r="N82" s="78">
        <f t="shared" si="2"/>
        <v>17200</v>
      </c>
      <c r="O82" s="81" t="s">
        <v>19</v>
      </c>
    </row>
    <row r="83" spans="1:15" ht="16.5" customHeight="1">
      <c r="A83" s="76" t="s">
        <v>277</v>
      </c>
      <c r="B83" s="76" t="s">
        <v>278</v>
      </c>
      <c r="C83" s="77" t="s">
        <v>26</v>
      </c>
      <c r="D83" s="78">
        <v>33000</v>
      </c>
      <c r="E83" s="79" t="s">
        <v>279</v>
      </c>
      <c r="F83" s="78"/>
      <c r="G83" s="80"/>
      <c r="H83" s="78"/>
      <c r="I83" s="78">
        <v>30000</v>
      </c>
      <c r="J83" s="79" t="s">
        <v>280</v>
      </c>
      <c r="K83" s="78"/>
      <c r="L83" s="80"/>
      <c r="M83" s="78"/>
      <c r="N83" s="78">
        <f t="shared" si="2"/>
        <v>30000</v>
      </c>
      <c r="O83" s="81" t="s">
        <v>19</v>
      </c>
    </row>
    <row r="84" spans="1:15" ht="16.5" customHeight="1">
      <c r="A84" s="76" t="s">
        <v>281</v>
      </c>
      <c r="B84" s="76" t="s">
        <v>282</v>
      </c>
      <c r="C84" s="77" t="s">
        <v>58</v>
      </c>
      <c r="D84" s="78">
        <v>1200</v>
      </c>
      <c r="E84" s="79" t="s">
        <v>283</v>
      </c>
      <c r="F84" s="78">
        <v>1100</v>
      </c>
      <c r="G84" s="79" t="s">
        <v>284</v>
      </c>
      <c r="H84" s="78">
        <v>880</v>
      </c>
      <c r="I84" s="78">
        <v>1112</v>
      </c>
      <c r="J84" s="79" t="s">
        <v>285</v>
      </c>
      <c r="K84" s="78">
        <v>1170</v>
      </c>
      <c r="L84" s="79" t="s">
        <v>286</v>
      </c>
      <c r="M84" s="78"/>
      <c r="N84" s="78">
        <f t="shared" si="2"/>
        <v>880</v>
      </c>
      <c r="O84" s="81" t="s">
        <v>19</v>
      </c>
    </row>
    <row r="85" spans="1:15" ht="16.5" customHeight="1">
      <c r="A85" s="76" t="s">
        <v>281</v>
      </c>
      <c r="B85" s="76" t="s">
        <v>287</v>
      </c>
      <c r="C85" s="77" t="s">
        <v>58</v>
      </c>
      <c r="D85" s="78">
        <v>1170</v>
      </c>
      <c r="E85" s="79" t="s">
        <v>283</v>
      </c>
      <c r="F85" s="78">
        <v>1074</v>
      </c>
      <c r="G85" s="79" t="s">
        <v>284</v>
      </c>
      <c r="H85" s="78"/>
      <c r="I85" s="78">
        <v>1085</v>
      </c>
      <c r="J85" s="79" t="s">
        <v>285</v>
      </c>
      <c r="K85" s="78">
        <v>1140</v>
      </c>
      <c r="L85" s="79" t="s">
        <v>286</v>
      </c>
      <c r="M85" s="78"/>
      <c r="N85" s="78">
        <f t="shared" si="2"/>
        <v>1074</v>
      </c>
      <c r="O85" s="81" t="s">
        <v>19</v>
      </c>
    </row>
    <row r="86" spans="1:15" ht="16.5" customHeight="1">
      <c r="A86" s="76" t="s">
        <v>288</v>
      </c>
      <c r="B86" s="76" t="s">
        <v>133</v>
      </c>
      <c r="C86" s="77" t="s">
        <v>17</v>
      </c>
      <c r="D86" s="78"/>
      <c r="E86" s="80"/>
      <c r="F86" s="78">
        <v>10100</v>
      </c>
      <c r="G86" s="79" t="s">
        <v>62</v>
      </c>
      <c r="H86" s="78"/>
      <c r="I86" s="78">
        <v>10100</v>
      </c>
      <c r="J86" s="79" t="s">
        <v>63</v>
      </c>
      <c r="K86" s="78"/>
      <c r="L86" s="80"/>
      <c r="M86" s="78"/>
      <c r="N86" s="78">
        <f t="shared" si="2"/>
        <v>10100</v>
      </c>
      <c r="O86" s="81" t="s">
        <v>19</v>
      </c>
    </row>
    <row r="87" spans="1:15" ht="16.5" customHeight="1">
      <c r="A87" s="76" t="s">
        <v>289</v>
      </c>
      <c r="B87" s="76" t="s">
        <v>290</v>
      </c>
      <c r="C87" s="77" t="s">
        <v>26</v>
      </c>
      <c r="D87" s="78">
        <v>15000</v>
      </c>
      <c r="E87" s="79" t="s">
        <v>291</v>
      </c>
      <c r="F87" s="78"/>
      <c r="G87" s="80"/>
      <c r="H87" s="78">
        <v>13500</v>
      </c>
      <c r="I87" s="78"/>
      <c r="J87" s="80"/>
      <c r="K87" s="78"/>
      <c r="L87" s="80"/>
      <c r="M87" s="78"/>
      <c r="N87" s="78">
        <f t="shared" si="2"/>
        <v>13500</v>
      </c>
      <c r="O87" s="81" t="s">
        <v>19</v>
      </c>
    </row>
    <row r="88" spans="1:15" ht="16.5" customHeight="1">
      <c r="A88" s="76" t="s">
        <v>289</v>
      </c>
      <c r="B88" s="76" t="s">
        <v>292</v>
      </c>
      <c r="C88" s="77" t="s">
        <v>26</v>
      </c>
      <c r="D88" s="78">
        <v>29000</v>
      </c>
      <c r="E88" s="79" t="s">
        <v>291</v>
      </c>
      <c r="F88" s="78"/>
      <c r="G88" s="80"/>
      <c r="H88" s="78">
        <v>26100</v>
      </c>
      <c r="I88" s="78"/>
      <c r="J88" s="80"/>
      <c r="K88" s="78"/>
      <c r="L88" s="80"/>
      <c r="M88" s="78"/>
      <c r="N88" s="78">
        <f t="shared" si="2"/>
        <v>26100</v>
      </c>
      <c r="O88" s="81" t="s">
        <v>19</v>
      </c>
    </row>
    <row r="89" spans="1:15" ht="16.5" customHeight="1">
      <c r="A89" s="76" t="s">
        <v>293</v>
      </c>
      <c r="B89" s="76" t="s">
        <v>294</v>
      </c>
      <c r="C89" s="77" t="s">
        <v>26</v>
      </c>
      <c r="D89" s="78">
        <v>70000</v>
      </c>
      <c r="E89" s="79" t="s">
        <v>295</v>
      </c>
      <c r="F89" s="78"/>
      <c r="G89" s="80"/>
      <c r="H89" s="78"/>
      <c r="I89" s="78"/>
      <c r="J89" s="80"/>
      <c r="K89" s="78"/>
      <c r="L89" s="80"/>
      <c r="M89" s="78"/>
      <c r="N89" s="78">
        <f t="shared" si="2"/>
        <v>70000</v>
      </c>
      <c r="O89" s="81" t="s">
        <v>19</v>
      </c>
    </row>
    <row r="90" spans="1:15" ht="16.5" customHeight="1">
      <c r="A90" s="76" t="s">
        <v>296</v>
      </c>
      <c r="B90" s="76" t="s">
        <v>297</v>
      </c>
      <c r="C90" s="77" t="s">
        <v>17</v>
      </c>
      <c r="D90" s="78">
        <v>1340</v>
      </c>
      <c r="E90" s="79" t="s">
        <v>298</v>
      </c>
      <c r="F90" s="78">
        <v>1386</v>
      </c>
      <c r="G90" s="79" t="s">
        <v>299</v>
      </c>
      <c r="H90" s="78"/>
      <c r="I90" s="78">
        <v>1386</v>
      </c>
      <c r="J90" s="79" t="s">
        <v>300</v>
      </c>
      <c r="K90" s="78">
        <v>1407</v>
      </c>
      <c r="L90" s="79" t="s">
        <v>301</v>
      </c>
      <c r="M90" s="78"/>
      <c r="N90" s="78">
        <f t="shared" si="2"/>
        <v>1340</v>
      </c>
      <c r="O90" s="81" t="s">
        <v>19</v>
      </c>
    </row>
    <row r="91" spans="1:15" ht="16.5" customHeight="1">
      <c r="A91" s="76" t="s">
        <v>302</v>
      </c>
      <c r="B91" s="76" t="s">
        <v>139</v>
      </c>
      <c r="C91" s="77" t="s">
        <v>17</v>
      </c>
      <c r="D91" s="78">
        <v>550</v>
      </c>
      <c r="E91" s="79" t="s">
        <v>303</v>
      </c>
      <c r="F91" s="78">
        <v>650</v>
      </c>
      <c r="G91" s="79" t="s">
        <v>304</v>
      </c>
      <c r="H91" s="78">
        <v>440</v>
      </c>
      <c r="I91" s="78"/>
      <c r="J91" s="80"/>
      <c r="K91" s="78">
        <v>540</v>
      </c>
      <c r="L91" s="79" t="s">
        <v>305</v>
      </c>
      <c r="M91" s="78"/>
      <c r="N91" s="78">
        <f t="shared" si="2"/>
        <v>440</v>
      </c>
      <c r="O91" s="81" t="s">
        <v>19</v>
      </c>
    </row>
    <row r="92" spans="1:15" ht="16.5" customHeight="1">
      <c r="A92" s="76" t="s">
        <v>306</v>
      </c>
      <c r="B92" s="76" t="s">
        <v>307</v>
      </c>
      <c r="C92" s="77" t="s">
        <v>58</v>
      </c>
      <c r="D92" s="78"/>
      <c r="E92" s="80"/>
      <c r="F92" s="78"/>
      <c r="G92" s="80"/>
      <c r="H92" s="78">
        <v>2450</v>
      </c>
      <c r="I92" s="78"/>
      <c r="J92" s="80"/>
      <c r="K92" s="78"/>
      <c r="L92" s="80"/>
      <c r="M92" s="78"/>
      <c r="N92" s="78">
        <f t="shared" si="2"/>
        <v>2450</v>
      </c>
      <c r="O92" s="81" t="s">
        <v>19</v>
      </c>
    </row>
    <row r="93" spans="1:15" ht="16.5" customHeight="1">
      <c r="A93" s="76" t="s">
        <v>306</v>
      </c>
      <c r="B93" s="76" t="s">
        <v>308</v>
      </c>
      <c r="C93" s="77" t="s">
        <v>58</v>
      </c>
      <c r="D93" s="78"/>
      <c r="E93" s="80"/>
      <c r="F93" s="78"/>
      <c r="G93" s="80"/>
      <c r="H93" s="78">
        <v>1930</v>
      </c>
      <c r="I93" s="78"/>
      <c r="J93" s="80"/>
      <c r="K93" s="78"/>
      <c r="L93" s="80"/>
      <c r="M93" s="78"/>
      <c r="N93" s="78">
        <f t="shared" si="2"/>
        <v>1930</v>
      </c>
      <c r="O93" s="81" t="s">
        <v>19</v>
      </c>
    </row>
    <row r="94" spans="1:15" ht="16.5" customHeight="1">
      <c r="A94" s="76" t="s">
        <v>309</v>
      </c>
      <c r="B94" s="76" t="s">
        <v>310</v>
      </c>
      <c r="C94" s="77" t="s">
        <v>58</v>
      </c>
      <c r="D94" s="78">
        <v>1433</v>
      </c>
      <c r="E94" s="79" t="s">
        <v>311</v>
      </c>
      <c r="F94" s="78">
        <v>1100</v>
      </c>
      <c r="G94" s="79" t="s">
        <v>217</v>
      </c>
      <c r="H94" s="78">
        <v>850</v>
      </c>
      <c r="I94" s="78">
        <v>1100</v>
      </c>
      <c r="J94" s="79" t="s">
        <v>312</v>
      </c>
      <c r="K94" s="78">
        <v>1286</v>
      </c>
      <c r="L94" s="79" t="s">
        <v>110</v>
      </c>
      <c r="M94" s="78"/>
      <c r="N94" s="78">
        <f t="shared" si="2"/>
        <v>850</v>
      </c>
      <c r="O94" s="81" t="s">
        <v>19</v>
      </c>
    </row>
    <row r="95" spans="1:15" ht="16.5" customHeight="1">
      <c r="A95" s="76" t="s">
        <v>313</v>
      </c>
      <c r="B95" s="76" t="s">
        <v>19</v>
      </c>
      <c r="C95" s="77" t="s">
        <v>26</v>
      </c>
      <c r="D95" s="78">
        <v>192</v>
      </c>
      <c r="E95" s="79" t="s">
        <v>314</v>
      </c>
      <c r="F95" s="78"/>
      <c r="G95" s="80"/>
      <c r="H95" s="78"/>
      <c r="I95" s="78">
        <v>185</v>
      </c>
      <c r="J95" s="79" t="s">
        <v>280</v>
      </c>
      <c r="K95" s="78"/>
      <c r="L95" s="80"/>
      <c r="M95" s="78"/>
      <c r="N95" s="78">
        <f t="shared" si="2"/>
        <v>185</v>
      </c>
      <c r="O95" s="81" t="s">
        <v>19</v>
      </c>
    </row>
    <row r="96" spans="1:15" ht="16.5" customHeight="1">
      <c r="A96" s="76" t="s">
        <v>315</v>
      </c>
      <c r="B96" s="76" t="s">
        <v>316</v>
      </c>
      <c r="C96" s="77" t="s">
        <v>26</v>
      </c>
      <c r="D96" s="78"/>
      <c r="E96" s="80"/>
      <c r="F96" s="78">
        <v>29000</v>
      </c>
      <c r="G96" s="79" t="s">
        <v>317</v>
      </c>
      <c r="H96" s="78"/>
      <c r="I96" s="78">
        <v>26500</v>
      </c>
      <c r="J96" s="79" t="s">
        <v>318</v>
      </c>
      <c r="K96" s="78"/>
      <c r="L96" s="80"/>
      <c r="M96" s="78"/>
      <c r="N96" s="78">
        <f t="shared" si="2"/>
        <v>26500</v>
      </c>
      <c r="O96" s="81" t="s">
        <v>19</v>
      </c>
    </row>
    <row r="97" spans="1:15" ht="16.5" customHeight="1">
      <c r="A97" s="76" t="s">
        <v>319</v>
      </c>
      <c r="B97" s="76" t="s">
        <v>39</v>
      </c>
      <c r="C97" s="77" t="s">
        <v>17</v>
      </c>
      <c r="D97" s="78">
        <v>1100</v>
      </c>
      <c r="E97" s="79" t="s">
        <v>303</v>
      </c>
      <c r="F97" s="78">
        <v>1100</v>
      </c>
      <c r="G97" s="79" t="s">
        <v>304</v>
      </c>
      <c r="H97" s="78">
        <v>880</v>
      </c>
      <c r="I97" s="78"/>
      <c r="J97" s="80"/>
      <c r="K97" s="78">
        <v>1080</v>
      </c>
      <c r="L97" s="79" t="s">
        <v>305</v>
      </c>
      <c r="M97" s="78"/>
      <c r="N97" s="78">
        <f t="shared" si="2"/>
        <v>880</v>
      </c>
      <c r="O97" s="81" t="s">
        <v>19</v>
      </c>
    </row>
    <row r="98" spans="1:15" ht="16.5" customHeight="1">
      <c r="A98" s="76" t="s">
        <v>319</v>
      </c>
      <c r="B98" s="76" t="s">
        <v>44</v>
      </c>
      <c r="C98" s="77" t="s">
        <v>17</v>
      </c>
      <c r="D98" s="78">
        <v>580</v>
      </c>
      <c r="E98" s="79" t="s">
        <v>303</v>
      </c>
      <c r="F98" s="78">
        <v>575</v>
      </c>
      <c r="G98" s="79" t="s">
        <v>304</v>
      </c>
      <c r="H98" s="78">
        <v>460</v>
      </c>
      <c r="I98" s="78"/>
      <c r="J98" s="80"/>
      <c r="K98" s="78">
        <v>570</v>
      </c>
      <c r="L98" s="79" t="s">
        <v>305</v>
      </c>
      <c r="M98" s="78"/>
      <c r="N98" s="78">
        <f t="shared" si="2"/>
        <v>460</v>
      </c>
      <c r="O98" s="81" t="s">
        <v>19</v>
      </c>
    </row>
    <row r="99" spans="1:15" ht="16.5" customHeight="1">
      <c r="A99" s="76" t="s">
        <v>320</v>
      </c>
      <c r="B99" s="76" t="s">
        <v>321</v>
      </c>
      <c r="C99" s="77" t="s">
        <v>107</v>
      </c>
      <c r="D99" s="78">
        <v>480000</v>
      </c>
      <c r="E99" s="79" t="s">
        <v>67</v>
      </c>
      <c r="F99" s="78">
        <v>465000</v>
      </c>
      <c r="G99" s="79" t="s">
        <v>68</v>
      </c>
      <c r="H99" s="78">
        <v>396900</v>
      </c>
      <c r="I99" s="78"/>
      <c r="J99" s="80"/>
      <c r="K99" s="78"/>
      <c r="L99" s="80"/>
      <c r="M99" s="78"/>
      <c r="N99" s="78">
        <f t="shared" si="2"/>
        <v>396900</v>
      </c>
      <c r="O99" s="81" t="s">
        <v>19</v>
      </c>
    </row>
    <row r="100" spans="1:15" ht="16.5" customHeight="1">
      <c r="A100" s="76" t="s">
        <v>322</v>
      </c>
      <c r="B100" s="76" t="s">
        <v>323</v>
      </c>
      <c r="C100" s="77" t="s">
        <v>149</v>
      </c>
      <c r="D100" s="78">
        <v>490000</v>
      </c>
      <c r="E100" s="79" t="s">
        <v>324</v>
      </c>
      <c r="F100" s="78">
        <v>485000</v>
      </c>
      <c r="G100" s="79" t="s">
        <v>325</v>
      </c>
      <c r="H100" s="78"/>
      <c r="I100" s="78"/>
      <c r="J100" s="80"/>
      <c r="K100" s="78"/>
      <c r="L100" s="80"/>
      <c r="M100" s="78"/>
      <c r="N100" s="78">
        <f t="shared" si="2"/>
        <v>485000</v>
      </c>
      <c r="O100" s="81" t="s">
        <v>19</v>
      </c>
    </row>
    <row r="101" spans="1:15" ht="16.5" customHeight="1">
      <c r="A101" s="76" t="s">
        <v>326</v>
      </c>
      <c r="B101" s="76" t="s">
        <v>327</v>
      </c>
      <c r="C101" s="77" t="s">
        <v>58</v>
      </c>
      <c r="D101" s="78">
        <v>3833</v>
      </c>
      <c r="E101" s="79" t="s">
        <v>328</v>
      </c>
      <c r="F101" s="78"/>
      <c r="G101" s="80"/>
      <c r="H101" s="78">
        <v>3090</v>
      </c>
      <c r="I101" s="78"/>
      <c r="J101" s="80"/>
      <c r="K101" s="78"/>
      <c r="L101" s="80"/>
      <c r="M101" s="78"/>
      <c r="N101" s="78">
        <f t="shared" ref="N101:N107" si="3">MIN(D101, F101, H101, I101, K101, M101)</f>
        <v>3090</v>
      </c>
      <c r="O101" s="81" t="s">
        <v>19</v>
      </c>
    </row>
    <row r="102" spans="1:15" ht="16.5" customHeight="1">
      <c r="A102" s="76" t="s">
        <v>326</v>
      </c>
      <c r="B102" s="76" t="s">
        <v>326</v>
      </c>
      <c r="C102" s="77" t="s">
        <v>58</v>
      </c>
      <c r="D102" s="78">
        <v>560</v>
      </c>
      <c r="E102" s="79" t="s">
        <v>328</v>
      </c>
      <c r="F102" s="78">
        <v>528</v>
      </c>
      <c r="G102" s="79" t="s">
        <v>895</v>
      </c>
      <c r="H102" s="78"/>
      <c r="I102" s="78"/>
      <c r="J102" s="80"/>
      <c r="K102" s="78"/>
      <c r="L102" s="80"/>
      <c r="M102" s="78"/>
      <c r="N102" s="78">
        <f t="shared" si="3"/>
        <v>528</v>
      </c>
      <c r="O102" s="81" t="s">
        <v>19</v>
      </c>
    </row>
    <row r="103" spans="1:15" ht="16.5" customHeight="1">
      <c r="A103" s="76" t="s">
        <v>329</v>
      </c>
      <c r="B103" s="76" t="s">
        <v>330</v>
      </c>
      <c r="C103" s="77" t="s">
        <v>58</v>
      </c>
      <c r="D103" s="78"/>
      <c r="E103" s="80"/>
      <c r="F103" s="78"/>
      <c r="G103" s="80"/>
      <c r="H103" s="78">
        <v>710</v>
      </c>
      <c r="I103" s="78">
        <v>2000</v>
      </c>
      <c r="J103" s="79" t="s">
        <v>280</v>
      </c>
      <c r="K103" s="78"/>
      <c r="L103" s="80"/>
      <c r="M103" s="78"/>
      <c r="N103" s="78">
        <f t="shared" si="3"/>
        <v>710</v>
      </c>
      <c r="O103" s="81" t="s">
        <v>19</v>
      </c>
    </row>
    <row r="104" spans="1:15" ht="16.5" customHeight="1">
      <c r="A104" s="76" t="s">
        <v>331</v>
      </c>
      <c r="B104" s="76" t="s">
        <v>332</v>
      </c>
      <c r="C104" s="77" t="s">
        <v>17</v>
      </c>
      <c r="D104" s="78">
        <v>11016</v>
      </c>
      <c r="E104" s="79" t="s">
        <v>328</v>
      </c>
      <c r="F104" s="78"/>
      <c r="G104" s="80"/>
      <c r="H104" s="78"/>
      <c r="I104" s="78"/>
      <c r="J104" s="80"/>
      <c r="K104" s="78"/>
      <c r="L104" s="80"/>
      <c r="M104" s="78"/>
      <c r="N104" s="78">
        <f t="shared" si="3"/>
        <v>11016</v>
      </c>
      <c r="O104" s="81" t="s">
        <v>19</v>
      </c>
    </row>
    <row r="105" spans="1:15" ht="16.5" customHeight="1">
      <c r="A105" s="76" t="s">
        <v>333</v>
      </c>
      <c r="B105" s="76" t="s">
        <v>334</v>
      </c>
      <c r="C105" s="77" t="s">
        <v>17</v>
      </c>
      <c r="D105" s="78">
        <v>31000</v>
      </c>
      <c r="E105" s="79" t="s">
        <v>335</v>
      </c>
      <c r="F105" s="78"/>
      <c r="G105" s="80"/>
      <c r="H105" s="78"/>
      <c r="I105" s="78"/>
      <c r="J105" s="80"/>
      <c r="K105" s="78"/>
      <c r="L105" s="80"/>
      <c r="M105" s="78"/>
      <c r="N105" s="78">
        <f t="shared" si="3"/>
        <v>31000</v>
      </c>
      <c r="O105" s="81" t="s">
        <v>19</v>
      </c>
    </row>
    <row r="106" spans="1:15" ht="16.5" customHeight="1">
      <c r="A106" s="76" t="s">
        <v>333</v>
      </c>
      <c r="B106" s="76" t="s">
        <v>336</v>
      </c>
      <c r="C106" s="77" t="s">
        <v>17</v>
      </c>
      <c r="D106" s="78">
        <v>50000</v>
      </c>
      <c r="E106" s="79" t="s">
        <v>177</v>
      </c>
      <c r="F106" s="78"/>
      <c r="G106" s="80"/>
      <c r="H106" s="78"/>
      <c r="I106" s="78"/>
      <c r="J106" s="80"/>
      <c r="K106" s="78"/>
      <c r="L106" s="80"/>
      <c r="M106" s="78"/>
      <c r="N106" s="78">
        <f t="shared" si="3"/>
        <v>50000</v>
      </c>
      <c r="O106" s="81" t="s">
        <v>19</v>
      </c>
    </row>
    <row r="107" spans="1:15" ht="16.5" customHeight="1">
      <c r="A107" s="76" t="s">
        <v>333</v>
      </c>
      <c r="B107" s="76" t="s">
        <v>337</v>
      </c>
      <c r="C107" s="77" t="s">
        <v>17</v>
      </c>
      <c r="D107" s="78">
        <v>15000</v>
      </c>
      <c r="E107" s="79" t="s">
        <v>335</v>
      </c>
      <c r="F107" s="78"/>
      <c r="G107" s="80"/>
      <c r="H107" s="78"/>
      <c r="I107" s="78"/>
      <c r="J107" s="80"/>
      <c r="K107" s="78"/>
      <c r="L107" s="80"/>
      <c r="M107" s="78"/>
      <c r="N107" s="78">
        <f t="shared" si="3"/>
        <v>15000</v>
      </c>
      <c r="O107" s="81" t="s">
        <v>19</v>
      </c>
    </row>
    <row r="108" spans="1:15" ht="16.5" customHeight="1">
      <c r="A108" s="76" t="s">
        <v>338</v>
      </c>
      <c r="B108" s="76" t="s">
        <v>19</v>
      </c>
      <c r="C108" s="77" t="s">
        <v>339</v>
      </c>
      <c r="D108" s="78"/>
      <c r="E108" s="80"/>
      <c r="F108" s="78"/>
      <c r="G108" s="80"/>
      <c r="H108" s="78"/>
      <c r="I108" s="78"/>
      <c r="J108" s="80"/>
      <c r="K108" s="78"/>
      <c r="L108" s="80"/>
      <c r="M108" s="78"/>
      <c r="N108" s="78">
        <v>123642</v>
      </c>
      <c r="O108" s="81" t="s">
        <v>340</v>
      </c>
    </row>
    <row r="109" spans="1:15" ht="16.5" customHeight="1">
      <c r="A109" s="76" t="s">
        <v>341</v>
      </c>
      <c r="B109" s="76" t="s">
        <v>19</v>
      </c>
      <c r="C109" s="77" t="s">
        <v>339</v>
      </c>
      <c r="D109" s="78"/>
      <c r="E109" s="80"/>
      <c r="F109" s="78"/>
      <c r="G109" s="80"/>
      <c r="H109" s="78"/>
      <c r="I109" s="78"/>
      <c r="J109" s="80"/>
      <c r="K109" s="78"/>
      <c r="L109" s="80"/>
      <c r="M109" s="78"/>
      <c r="N109" s="78">
        <v>139327</v>
      </c>
      <c r="O109" s="81" t="s">
        <v>19</v>
      </c>
    </row>
    <row r="110" spans="1:15" ht="16.5" customHeight="1">
      <c r="A110" s="76" t="s">
        <v>342</v>
      </c>
      <c r="B110" s="76" t="s">
        <v>19</v>
      </c>
      <c r="C110" s="77" t="s">
        <v>339</v>
      </c>
      <c r="D110" s="78"/>
      <c r="E110" s="80"/>
      <c r="F110" s="78"/>
      <c r="G110" s="80"/>
      <c r="H110" s="78"/>
      <c r="I110" s="78"/>
      <c r="J110" s="80"/>
      <c r="K110" s="78"/>
      <c r="L110" s="80"/>
      <c r="M110" s="78"/>
      <c r="N110" s="78">
        <v>114481</v>
      </c>
      <c r="O110" s="81" t="s">
        <v>343</v>
      </c>
    </row>
    <row r="111" spans="1:15" ht="16.5" customHeight="1">
      <c r="A111" s="76" t="s">
        <v>344</v>
      </c>
      <c r="B111" s="76" t="s">
        <v>19</v>
      </c>
      <c r="C111" s="77" t="s">
        <v>339</v>
      </c>
      <c r="D111" s="78"/>
      <c r="E111" s="80"/>
      <c r="F111" s="78"/>
      <c r="G111" s="80"/>
      <c r="H111" s="78"/>
      <c r="I111" s="78"/>
      <c r="J111" s="80"/>
      <c r="K111" s="78"/>
      <c r="L111" s="80"/>
      <c r="M111" s="78"/>
      <c r="N111" s="78">
        <v>135112</v>
      </c>
      <c r="O111" s="81" t="s">
        <v>19</v>
      </c>
    </row>
    <row r="112" spans="1:15" ht="16.5" customHeight="1">
      <c r="A112" s="76" t="s">
        <v>345</v>
      </c>
      <c r="B112" s="76" t="s">
        <v>19</v>
      </c>
      <c r="C112" s="77" t="s">
        <v>339</v>
      </c>
      <c r="D112" s="78"/>
      <c r="E112" s="80"/>
      <c r="F112" s="78"/>
      <c r="G112" s="80"/>
      <c r="H112" s="78"/>
      <c r="I112" s="78"/>
      <c r="J112" s="80"/>
      <c r="K112" s="78"/>
      <c r="L112" s="80"/>
      <c r="M112" s="78"/>
      <c r="N112" s="78">
        <v>116098</v>
      </c>
      <c r="O112" s="81" t="s">
        <v>19</v>
      </c>
    </row>
    <row r="113" spans="1:15" ht="16.5" customHeight="1">
      <c r="A113" s="76" t="s">
        <v>346</v>
      </c>
      <c r="B113" s="76" t="s">
        <v>19</v>
      </c>
      <c r="C113" s="77" t="s">
        <v>339</v>
      </c>
      <c r="D113" s="78"/>
      <c r="E113" s="80"/>
      <c r="F113" s="78"/>
      <c r="G113" s="80"/>
      <c r="H113" s="78"/>
      <c r="I113" s="78"/>
      <c r="J113" s="80"/>
      <c r="K113" s="78"/>
      <c r="L113" s="80"/>
      <c r="M113" s="78"/>
      <c r="N113" s="78">
        <v>122128</v>
      </c>
      <c r="O113" s="81" t="s">
        <v>19</v>
      </c>
    </row>
    <row r="114" spans="1:15" ht="16.5" customHeight="1">
      <c r="A114" s="76" t="s">
        <v>347</v>
      </c>
      <c r="B114" s="76" t="s">
        <v>19</v>
      </c>
      <c r="C114" s="77" t="s">
        <v>339</v>
      </c>
      <c r="D114" s="78"/>
      <c r="E114" s="80"/>
      <c r="F114" s="78"/>
      <c r="G114" s="80"/>
      <c r="H114" s="78"/>
      <c r="I114" s="78"/>
      <c r="J114" s="80"/>
      <c r="K114" s="78"/>
      <c r="L114" s="80"/>
      <c r="M114" s="78"/>
      <c r="N114" s="78">
        <v>101093</v>
      </c>
      <c r="O114" s="81" t="s">
        <v>19</v>
      </c>
    </row>
    <row r="115" spans="1:15" ht="16.5" customHeight="1">
      <c r="A115" s="76" t="s">
        <v>348</v>
      </c>
      <c r="B115" s="76" t="s">
        <v>19</v>
      </c>
      <c r="C115" s="77" t="s">
        <v>339</v>
      </c>
      <c r="D115" s="78"/>
      <c r="E115" s="80"/>
      <c r="F115" s="78"/>
      <c r="G115" s="80"/>
      <c r="H115" s="78"/>
      <c r="I115" s="78"/>
      <c r="J115" s="80"/>
      <c r="K115" s="78"/>
      <c r="L115" s="80"/>
      <c r="M115" s="78"/>
      <c r="N115" s="78">
        <v>116622</v>
      </c>
      <c r="O115" s="81" t="s">
        <v>19</v>
      </c>
    </row>
    <row r="116" spans="1:15" ht="16.5" customHeight="1">
      <c r="A116" s="76" t="s">
        <v>349</v>
      </c>
      <c r="B116" s="76" t="s">
        <v>19</v>
      </c>
      <c r="C116" s="77" t="s">
        <v>339</v>
      </c>
      <c r="D116" s="78"/>
      <c r="E116" s="80"/>
      <c r="F116" s="78"/>
      <c r="G116" s="80"/>
      <c r="H116" s="78"/>
      <c r="I116" s="78"/>
      <c r="J116" s="80"/>
      <c r="K116" s="78"/>
      <c r="L116" s="80"/>
      <c r="M116" s="78"/>
      <c r="N116" s="78">
        <v>247311</v>
      </c>
      <c r="O116" s="81" t="s">
        <v>19</v>
      </c>
    </row>
    <row r="117" spans="1:15" ht="16.5" customHeight="1">
      <c r="A117" s="76" t="s">
        <v>350</v>
      </c>
      <c r="B117" s="76" t="s">
        <v>19</v>
      </c>
      <c r="C117" s="77" t="s">
        <v>339</v>
      </c>
      <c r="D117" s="78"/>
      <c r="E117" s="80"/>
      <c r="F117" s="78"/>
      <c r="G117" s="80"/>
      <c r="H117" s="78"/>
      <c r="I117" s="78"/>
      <c r="J117" s="80"/>
      <c r="K117" s="78"/>
      <c r="L117" s="80"/>
      <c r="M117" s="78"/>
      <c r="N117" s="78">
        <v>140811</v>
      </c>
      <c r="O117" s="81" t="s">
        <v>19</v>
      </c>
    </row>
    <row r="118" spans="1:15" ht="16.5" customHeight="1">
      <c r="A118" s="76" t="s">
        <v>351</v>
      </c>
      <c r="B118" s="76" t="s">
        <v>19</v>
      </c>
      <c r="C118" s="77" t="s">
        <v>339</v>
      </c>
      <c r="D118" s="78"/>
      <c r="E118" s="80"/>
      <c r="F118" s="78"/>
      <c r="G118" s="80"/>
      <c r="H118" s="78"/>
      <c r="I118" s="78"/>
      <c r="J118" s="80"/>
      <c r="K118" s="78"/>
      <c r="L118" s="80"/>
      <c r="M118" s="78"/>
      <c r="N118" s="78">
        <v>101978</v>
      </c>
      <c r="O118" s="81" t="s">
        <v>19</v>
      </c>
    </row>
    <row r="119" spans="1:15" ht="16.5" customHeight="1">
      <c r="A119" s="76" t="s">
        <v>352</v>
      </c>
      <c r="B119" s="76" t="s">
        <v>19</v>
      </c>
      <c r="C119" s="77" t="s">
        <v>339</v>
      </c>
      <c r="D119" s="78"/>
      <c r="E119" s="80"/>
      <c r="F119" s="78"/>
      <c r="G119" s="80"/>
      <c r="H119" s="78"/>
      <c r="I119" s="78"/>
      <c r="J119" s="80"/>
      <c r="K119" s="78"/>
      <c r="L119" s="80"/>
      <c r="M119" s="78"/>
      <c r="N119" s="78">
        <v>87805</v>
      </c>
      <c r="O119" s="81" t="s">
        <v>19</v>
      </c>
    </row>
    <row r="120" spans="1:15" ht="16.5" customHeight="1">
      <c r="A120" s="76" t="s">
        <v>353</v>
      </c>
      <c r="B120" s="76" t="s">
        <v>19</v>
      </c>
      <c r="C120" s="77" t="s">
        <v>339</v>
      </c>
      <c r="D120" s="78"/>
      <c r="E120" s="80"/>
      <c r="F120" s="78"/>
      <c r="G120" s="80"/>
      <c r="H120" s="78"/>
      <c r="I120" s="78"/>
      <c r="J120" s="80"/>
      <c r="K120" s="78"/>
      <c r="L120" s="80"/>
      <c r="M120" s="78"/>
      <c r="N120" s="78">
        <v>134516</v>
      </c>
      <c r="O120" s="81" t="s">
        <v>354</v>
      </c>
    </row>
    <row r="121" spans="1:15" ht="16.5" customHeight="1">
      <c r="A121" s="76" t="s">
        <v>355</v>
      </c>
      <c r="B121" s="76" t="s">
        <v>19</v>
      </c>
      <c r="C121" s="77" t="s">
        <v>339</v>
      </c>
      <c r="D121" s="78"/>
      <c r="E121" s="80"/>
      <c r="F121" s="78"/>
      <c r="G121" s="80"/>
      <c r="H121" s="78"/>
      <c r="I121" s="78"/>
      <c r="J121" s="80"/>
      <c r="K121" s="78"/>
      <c r="L121" s="80"/>
      <c r="M121" s="78"/>
      <c r="N121" s="78">
        <v>114023</v>
      </c>
      <c r="O121" s="81" t="s">
        <v>19</v>
      </c>
    </row>
    <row r="122" spans="1:15" ht="16.5" customHeight="1">
      <c r="A122" s="76" t="s">
        <v>356</v>
      </c>
      <c r="B122" s="76" t="s">
        <v>19</v>
      </c>
      <c r="C122" s="77" t="s">
        <v>339</v>
      </c>
      <c r="D122" s="78"/>
      <c r="E122" s="80"/>
      <c r="F122" s="78"/>
      <c r="G122" s="80"/>
      <c r="H122" s="78"/>
      <c r="I122" s="78"/>
      <c r="J122" s="80"/>
      <c r="K122" s="78"/>
      <c r="L122" s="80"/>
      <c r="M122" s="78"/>
      <c r="N122" s="78">
        <v>123257</v>
      </c>
      <c r="O122" s="81" t="s">
        <v>19</v>
      </c>
    </row>
    <row r="123" spans="1:15" ht="16.5" customHeight="1">
      <c r="A123" s="76" t="s">
        <v>357</v>
      </c>
      <c r="B123" s="76" t="s">
        <v>19</v>
      </c>
      <c r="C123" s="77" t="s">
        <v>339</v>
      </c>
      <c r="D123" s="78"/>
      <c r="E123" s="80"/>
      <c r="F123" s="78"/>
      <c r="G123" s="80"/>
      <c r="H123" s="78"/>
      <c r="I123" s="78"/>
      <c r="J123" s="80"/>
      <c r="K123" s="78"/>
      <c r="L123" s="80"/>
      <c r="M123" s="78"/>
      <c r="N123" s="78">
        <v>125105</v>
      </c>
      <c r="O123" s="81" t="s">
        <v>19</v>
      </c>
    </row>
    <row r="124" spans="1:15" ht="16.5" customHeight="1">
      <c r="A124" s="76" t="s">
        <v>358</v>
      </c>
      <c r="B124" s="76" t="s">
        <v>19</v>
      </c>
      <c r="C124" s="77" t="s">
        <v>339</v>
      </c>
      <c r="D124" s="78"/>
      <c r="E124" s="80"/>
      <c r="F124" s="78"/>
      <c r="G124" s="80"/>
      <c r="H124" s="78"/>
      <c r="I124" s="78"/>
      <c r="J124" s="80"/>
      <c r="K124" s="78"/>
      <c r="L124" s="80"/>
      <c r="M124" s="78"/>
      <c r="N124" s="78">
        <v>104254</v>
      </c>
      <c r="O124" s="81" t="s">
        <v>19</v>
      </c>
    </row>
    <row r="125" spans="1:15" ht="16.5" customHeight="1">
      <c r="A125" s="76" t="s">
        <v>359</v>
      </c>
      <c r="B125" s="76" t="s">
        <v>19</v>
      </c>
      <c r="C125" s="77" t="s">
        <v>339</v>
      </c>
      <c r="D125" s="78"/>
      <c r="E125" s="80"/>
      <c r="F125" s="78"/>
      <c r="G125" s="80"/>
      <c r="H125" s="78"/>
      <c r="I125" s="78"/>
      <c r="J125" s="80"/>
      <c r="K125" s="78"/>
      <c r="L125" s="80"/>
      <c r="M125" s="78"/>
      <c r="N125" s="78">
        <v>103874</v>
      </c>
      <c r="O125" s="81" t="s">
        <v>19</v>
      </c>
    </row>
    <row r="126" spans="1:15" ht="16.5" customHeight="1">
      <c r="A126" s="76" t="s">
        <v>360</v>
      </c>
      <c r="B126" s="76" t="s">
        <v>19</v>
      </c>
      <c r="C126" s="77" t="s">
        <v>339</v>
      </c>
      <c r="D126" s="78"/>
      <c r="E126" s="80"/>
      <c r="F126" s="78"/>
      <c r="G126" s="80"/>
      <c r="H126" s="78"/>
      <c r="I126" s="78"/>
      <c r="J126" s="80"/>
      <c r="K126" s="78"/>
      <c r="L126" s="80"/>
      <c r="M126" s="78"/>
      <c r="N126" s="78">
        <v>138946</v>
      </c>
      <c r="O126" s="81" t="s">
        <v>19</v>
      </c>
    </row>
    <row r="127" spans="1:15" ht="16.5" customHeight="1">
      <c r="A127" s="76" t="s">
        <v>361</v>
      </c>
      <c r="B127" s="76" t="s">
        <v>19</v>
      </c>
      <c r="C127" s="77" t="s">
        <v>339</v>
      </c>
      <c r="D127" s="78"/>
      <c r="E127" s="80"/>
      <c r="F127" s="78"/>
      <c r="G127" s="80"/>
      <c r="H127" s="78"/>
      <c r="I127" s="78"/>
      <c r="J127" s="80"/>
      <c r="K127" s="78"/>
      <c r="L127" s="80"/>
      <c r="M127" s="78"/>
      <c r="N127" s="78">
        <v>115796</v>
      </c>
      <c r="O127" s="81" t="s">
        <v>19</v>
      </c>
    </row>
    <row r="128" spans="1:15" ht="16.5" customHeight="1">
      <c r="A128" s="76" t="s">
        <v>362</v>
      </c>
      <c r="B128" s="76" t="s">
        <v>19</v>
      </c>
      <c r="C128" s="77" t="s">
        <v>339</v>
      </c>
      <c r="D128" s="78"/>
      <c r="E128" s="80"/>
      <c r="F128" s="78"/>
      <c r="G128" s="80"/>
      <c r="H128" s="78"/>
      <c r="I128" s="78"/>
      <c r="J128" s="80"/>
      <c r="K128" s="78"/>
      <c r="L128" s="80"/>
      <c r="M128" s="78"/>
      <c r="N128" s="78">
        <v>133837</v>
      </c>
      <c r="O128" s="81" t="s">
        <v>19</v>
      </c>
    </row>
    <row r="129" spans="1:15" ht="16.5" customHeight="1">
      <c r="A129" s="76" t="s">
        <v>363</v>
      </c>
      <c r="B129" s="76" t="s">
        <v>19</v>
      </c>
      <c r="C129" s="77" t="s">
        <v>339</v>
      </c>
      <c r="D129" s="78"/>
      <c r="E129" s="80"/>
      <c r="F129" s="78"/>
      <c r="G129" s="80"/>
      <c r="H129" s="78"/>
      <c r="I129" s="78"/>
      <c r="J129" s="80"/>
      <c r="K129" s="78"/>
      <c r="L129" s="80"/>
      <c r="M129" s="78"/>
      <c r="N129" s="78">
        <v>108245</v>
      </c>
      <c r="O129" s="81" t="s">
        <v>19</v>
      </c>
    </row>
    <row r="130" spans="1:15" ht="16.5" customHeight="1">
      <c r="A130" s="76" t="s">
        <v>364</v>
      </c>
      <c r="B130" s="76" t="s">
        <v>365</v>
      </c>
      <c r="C130" s="77" t="s">
        <v>149</v>
      </c>
      <c r="D130" s="78"/>
      <c r="E130" s="80"/>
      <c r="F130" s="78"/>
      <c r="G130" s="80"/>
      <c r="H130" s="78"/>
      <c r="I130" s="78"/>
      <c r="J130" s="80"/>
      <c r="K130" s="78"/>
      <c r="L130" s="80"/>
      <c r="M130" s="78">
        <v>96703000</v>
      </c>
      <c r="N130" s="78">
        <f t="shared" ref="N130:N135" si="4">MIN(D130, F130, H130, I130, K130, M130)</f>
        <v>96703000</v>
      </c>
      <c r="O130" s="81" t="s">
        <v>366</v>
      </c>
    </row>
    <row r="131" spans="1:15" ht="16.5" customHeight="1">
      <c r="A131" s="76" t="s">
        <v>367</v>
      </c>
      <c r="B131" s="76" t="s">
        <v>368</v>
      </c>
      <c r="C131" s="77" t="s">
        <v>149</v>
      </c>
      <c r="D131" s="78"/>
      <c r="E131" s="80"/>
      <c r="F131" s="78"/>
      <c r="G131" s="80"/>
      <c r="H131" s="78"/>
      <c r="I131" s="78"/>
      <c r="J131" s="80"/>
      <c r="K131" s="78"/>
      <c r="L131" s="80"/>
      <c r="M131" s="78">
        <v>78101000</v>
      </c>
      <c r="N131" s="78">
        <f t="shared" si="4"/>
        <v>78101000</v>
      </c>
      <c r="O131" s="81" t="s">
        <v>366</v>
      </c>
    </row>
    <row r="132" spans="1:15" ht="16.5" customHeight="1">
      <c r="A132" s="76" t="s">
        <v>369</v>
      </c>
      <c r="B132" s="76" t="s">
        <v>370</v>
      </c>
      <c r="C132" s="77" t="s">
        <v>149</v>
      </c>
      <c r="D132" s="78"/>
      <c r="E132" s="80"/>
      <c r="F132" s="78"/>
      <c r="G132" s="80"/>
      <c r="H132" s="78"/>
      <c r="I132" s="78"/>
      <c r="J132" s="80"/>
      <c r="K132" s="78"/>
      <c r="L132" s="80"/>
      <c r="M132" s="78">
        <v>544000</v>
      </c>
      <c r="N132" s="78">
        <f t="shared" si="4"/>
        <v>544000</v>
      </c>
      <c r="O132" s="81" t="s">
        <v>366</v>
      </c>
    </row>
    <row r="133" spans="1:15" ht="16.5" customHeight="1">
      <c r="A133" s="76" t="s">
        <v>371</v>
      </c>
      <c r="B133" s="76" t="s">
        <v>19</v>
      </c>
      <c r="C133" s="77" t="s">
        <v>372</v>
      </c>
      <c r="D133" s="78">
        <v>83</v>
      </c>
      <c r="E133" s="79" t="s">
        <v>373</v>
      </c>
      <c r="F133" s="78"/>
      <c r="G133" s="80"/>
      <c r="H133" s="78"/>
      <c r="I133" s="78"/>
      <c r="J133" s="80"/>
      <c r="K133" s="78"/>
      <c r="L133" s="80"/>
      <c r="M133" s="78"/>
      <c r="N133" s="78">
        <f t="shared" si="4"/>
        <v>83</v>
      </c>
      <c r="O133" s="81" t="s">
        <v>19</v>
      </c>
    </row>
    <row r="134" spans="1:15" ht="16.5" customHeight="1">
      <c r="A134" s="76" t="s">
        <v>374</v>
      </c>
      <c r="B134" s="76" t="s">
        <v>375</v>
      </c>
      <c r="C134" s="77" t="s">
        <v>149</v>
      </c>
      <c r="D134" s="78"/>
      <c r="E134" s="80"/>
      <c r="F134" s="78"/>
      <c r="G134" s="80"/>
      <c r="H134" s="78"/>
      <c r="I134" s="78"/>
      <c r="J134" s="80"/>
      <c r="K134" s="78"/>
      <c r="L134" s="80"/>
      <c r="M134" s="78">
        <v>1007000</v>
      </c>
      <c r="N134" s="78">
        <f t="shared" si="4"/>
        <v>1007000</v>
      </c>
      <c r="O134" s="81" t="s">
        <v>366</v>
      </c>
    </row>
    <row r="135" spans="1:15" ht="16.5" customHeight="1">
      <c r="A135" s="76" t="s">
        <v>376</v>
      </c>
      <c r="B135" s="76" t="s">
        <v>377</v>
      </c>
      <c r="C135" s="77" t="s">
        <v>378</v>
      </c>
      <c r="D135" s="78">
        <v>27731</v>
      </c>
      <c r="E135" s="79" t="s">
        <v>379</v>
      </c>
      <c r="F135" s="78">
        <v>27731</v>
      </c>
      <c r="G135" s="79" t="s">
        <v>380</v>
      </c>
      <c r="H135" s="78"/>
      <c r="I135" s="78"/>
      <c r="J135" s="80"/>
      <c r="K135" s="78"/>
      <c r="L135" s="80"/>
      <c r="M135" s="78"/>
      <c r="N135" s="78">
        <f t="shared" si="4"/>
        <v>27731</v>
      </c>
      <c r="O135" s="81" t="s">
        <v>19</v>
      </c>
    </row>
    <row r="136" spans="1:15" ht="16.5" customHeight="1">
      <c r="A136" s="83"/>
      <c r="B136" s="83"/>
      <c r="C136" s="84"/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5"/>
    </row>
    <row r="137" spans="1:15" ht="16.5" customHeight="1">
      <c r="A137" s="83"/>
      <c r="B137" s="83"/>
      <c r="C137" s="84"/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5"/>
    </row>
    <row r="138" spans="1:15" ht="16.5" customHeight="1">
      <c r="A138" s="83"/>
      <c r="B138" s="83"/>
      <c r="C138" s="84"/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5"/>
    </row>
    <row r="139" spans="1:15" ht="16.5" customHeight="1">
      <c r="A139" s="83"/>
      <c r="B139" s="83"/>
      <c r="C139" s="84"/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5"/>
    </row>
    <row r="140" spans="1:15" ht="16.5" customHeight="1">
      <c r="A140" s="83"/>
      <c r="B140" s="83"/>
      <c r="C140" s="84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5"/>
    </row>
    <row r="141" spans="1:15" ht="16.5" customHeight="1">
      <c r="A141" s="83"/>
      <c r="B141" s="83"/>
      <c r="C141" s="84"/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5"/>
    </row>
    <row r="142" spans="1:15" ht="16.5" customHeight="1">
      <c r="A142" s="83"/>
      <c r="B142" s="83"/>
      <c r="C142" s="84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5"/>
    </row>
    <row r="143" spans="1:15" ht="16.5" customHeight="1">
      <c r="A143" s="83"/>
      <c r="B143" s="83"/>
      <c r="C143" s="84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5"/>
    </row>
    <row r="144" spans="1:15" ht="16.5" customHeight="1">
      <c r="A144" s="83"/>
      <c r="B144" s="83"/>
      <c r="C144" s="84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5"/>
    </row>
  </sheetData>
  <mergeCells count="11">
    <mergeCell ref="K3:L3"/>
    <mergeCell ref="A1:O1"/>
    <mergeCell ref="A2:O2"/>
    <mergeCell ref="A3:A4"/>
    <mergeCell ref="B3:B4"/>
    <mergeCell ref="C3:C4"/>
    <mergeCell ref="N3:N4"/>
    <mergeCell ref="O3:O4"/>
    <mergeCell ref="D3:E3"/>
    <mergeCell ref="F3:G3"/>
    <mergeCell ref="I3:J3"/>
  </mergeCells>
  <phoneticPr fontId="3" type="noConversion"/>
  <pageMargins left="0.74803149606299213" right="0.19685039370078738" top="0.74803149606299213" bottom="0.55118110236220463" header="0.51181102362204722" footer="0.31496062992125989"/>
  <pageSetup paperSize="9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1:K34"/>
  <sheetViews>
    <sheetView topLeftCell="A4" workbookViewId="0">
      <selection activeCell="L33" sqref="L33"/>
    </sheetView>
  </sheetViews>
  <sheetFormatPr defaultRowHeight="16.5"/>
  <cols>
    <col min="3" max="3" width="6" style="131" customWidth="1"/>
  </cols>
  <sheetData>
    <row r="1" spans="3:11">
      <c r="H1" t="s">
        <v>961</v>
      </c>
    </row>
    <row r="2" spans="3:11">
      <c r="C2" s="131" t="s">
        <v>949</v>
      </c>
      <c r="D2" s="131" t="s">
        <v>945</v>
      </c>
      <c r="E2" s="131" t="s">
        <v>946</v>
      </c>
      <c r="F2" s="131" t="s">
        <v>947</v>
      </c>
      <c r="G2" s="131" t="s">
        <v>948</v>
      </c>
      <c r="H2" s="131" t="s">
        <v>960</v>
      </c>
      <c r="I2" s="131" t="s">
        <v>954</v>
      </c>
      <c r="J2" s="131" t="s">
        <v>955</v>
      </c>
      <c r="K2" s="131" t="s">
        <v>956</v>
      </c>
    </row>
    <row r="3" spans="3:11">
      <c r="C3" s="131">
        <v>1</v>
      </c>
      <c r="D3" s="131"/>
      <c r="E3" s="131">
        <v>13.57</v>
      </c>
      <c r="F3" s="131"/>
      <c r="G3" s="131"/>
      <c r="H3" s="131">
        <v>1</v>
      </c>
      <c r="I3">
        <f t="shared" ref="I3:I30" si="0">SUM(D3:G3)</f>
        <v>13.57</v>
      </c>
      <c r="J3">
        <v>2.4</v>
      </c>
      <c r="K3">
        <f>I3*J3</f>
        <v>32.567999999999998</v>
      </c>
    </row>
    <row r="4" spans="3:11">
      <c r="C4" s="131">
        <v>2</v>
      </c>
      <c r="D4" s="131">
        <v>2.8</v>
      </c>
      <c r="E4" s="131"/>
      <c r="F4" s="131"/>
      <c r="G4" s="131"/>
      <c r="H4" s="131">
        <v>1</v>
      </c>
      <c r="I4">
        <f t="shared" si="0"/>
        <v>2.8</v>
      </c>
      <c r="J4">
        <v>2.4</v>
      </c>
      <c r="K4">
        <f t="shared" ref="K4:K30" si="1">I4*J4</f>
        <v>6.72</v>
      </c>
    </row>
    <row r="5" spans="3:11">
      <c r="C5" s="131">
        <v>3</v>
      </c>
      <c r="D5" s="131">
        <v>11.775</v>
      </c>
      <c r="E5" s="131">
        <v>4.7</v>
      </c>
      <c r="F5" s="131"/>
      <c r="G5" s="131"/>
      <c r="H5" s="131">
        <v>1</v>
      </c>
      <c r="I5">
        <f t="shared" si="0"/>
        <v>16.475000000000001</v>
      </c>
      <c r="J5">
        <v>2.4</v>
      </c>
      <c r="K5">
        <f t="shared" si="1"/>
        <v>39.54</v>
      </c>
    </row>
    <row r="6" spans="3:11">
      <c r="C6" s="131">
        <v>4</v>
      </c>
      <c r="D6" s="131">
        <v>9.1050000000000004</v>
      </c>
      <c r="E6" s="131"/>
      <c r="F6" s="131"/>
      <c r="G6" s="131"/>
      <c r="H6" s="131"/>
      <c r="I6">
        <f t="shared" si="0"/>
        <v>9.1050000000000004</v>
      </c>
      <c r="J6">
        <v>2.4</v>
      </c>
      <c r="K6">
        <f t="shared" si="1"/>
        <v>21.852</v>
      </c>
    </row>
    <row r="7" spans="3:11">
      <c r="C7" s="131">
        <v>5</v>
      </c>
      <c r="D7" s="131">
        <v>6.1749999999999998</v>
      </c>
      <c r="E7" s="131">
        <v>10.3</v>
      </c>
      <c r="F7" s="131"/>
      <c r="G7" s="131"/>
      <c r="H7" s="131">
        <v>2</v>
      </c>
      <c r="I7">
        <f t="shared" si="0"/>
        <v>16.475000000000001</v>
      </c>
      <c r="J7">
        <v>2.4</v>
      </c>
      <c r="K7">
        <f t="shared" si="1"/>
        <v>39.54</v>
      </c>
    </row>
    <row r="8" spans="3:11">
      <c r="C8" s="131">
        <v>6</v>
      </c>
      <c r="D8" s="131">
        <v>4.5</v>
      </c>
      <c r="E8" s="131"/>
      <c r="F8" s="131"/>
      <c r="G8" s="131"/>
      <c r="H8" s="131"/>
      <c r="I8">
        <f t="shared" si="0"/>
        <v>4.5</v>
      </c>
      <c r="J8">
        <v>2.4</v>
      </c>
      <c r="K8">
        <f t="shared" si="1"/>
        <v>10.799999999999999</v>
      </c>
    </row>
    <row r="9" spans="3:11">
      <c r="C9" s="132" t="s">
        <v>950</v>
      </c>
      <c r="D9" s="131">
        <v>6.5</v>
      </c>
      <c r="E9" s="131"/>
      <c r="F9" s="131"/>
      <c r="G9" s="131"/>
      <c r="H9" s="131"/>
      <c r="I9">
        <f t="shared" si="0"/>
        <v>6.5</v>
      </c>
      <c r="J9">
        <v>2.4</v>
      </c>
      <c r="K9">
        <f t="shared" ref="K9" si="2">I9*J9</f>
        <v>15.6</v>
      </c>
    </row>
    <row r="10" spans="3:11">
      <c r="C10" s="131">
        <v>7</v>
      </c>
      <c r="D10" s="131">
        <v>18.36</v>
      </c>
      <c r="E10" s="131"/>
      <c r="F10" s="131"/>
      <c r="G10" s="131"/>
      <c r="H10" s="131"/>
      <c r="I10">
        <f t="shared" si="0"/>
        <v>18.36</v>
      </c>
      <c r="J10">
        <v>2.4</v>
      </c>
      <c r="K10">
        <f t="shared" si="1"/>
        <v>44.064</v>
      </c>
    </row>
    <row r="11" spans="3:11">
      <c r="C11" s="131">
        <v>8</v>
      </c>
      <c r="D11" s="131"/>
      <c r="E11" s="131">
        <v>5.5</v>
      </c>
      <c r="F11" s="131"/>
      <c r="G11" s="131"/>
      <c r="H11" s="131">
        <v>1</v>
      </c>
      <c r="I11">
        <f t="shared" si="0"/>
        <v>5.5</v>
      </c>
      <c r="J11">
        <v>2.4</v>
      </c>
      <c r="K11">
        <f t="shared" si="1"/>
        <v>13.2</v>
      </c>
    </row>
    <row r="12" spans="3:11">
      <c r="C12" s="131">
        <v>9</v>
      </c>
      <c r="D12" s="131"/>
      <c r="E12" s="131">
        <v>16.5</v>
      </c>
      <c r="F12" s="131"/>
      <c r="G12" s="131"/>
      <c r="H12" s="131">
        <v>3</v>
      </c>
      <c r="I12">
        <f t="shared" si="0"/>
        <v>16.5</v>
      </c>
      <c r="J12">
        <v>2.4</v>
      </c>
      <c r="K12">
        <f t="shared" si="1"/>
        <v>39.6</v>
      </c>
    </row>
    <row r="13" spans="3:11">
      <c r="C13" s="131">
        <v>10</v>
      </c>
      <c r="D13" s="131"/>
      <c r="E13" s="131">
        <v>5.18</v>
      </c>
      <c r="F13" s="131"/>
      <c r="G13" s="131"/>
      <c r="H13" s="131"/>
      <c r="I13">
        <f t="shared" si="0"/>
        <v>5.18</v>
      </c>
      <c r="J13">
        <v>2.4</v>
      </c>
      <c r="K13">
        <f t="shared" si="1"/>
        <v>12.431999999999999</v>
      </c>
    </row>
    <row r="14" spans="3:11">
      <c r="C14" s="131">
        <v>11</v>
      </c>
      <c r="D14" s="131"/>
      <c r="E14" s="131">
        <v>5.18</v>
      </c>
      <c r="F14" s="131"/>
      <c r="G14" s="131"/>
      <c r="H14" s="131"/>
      <c r="I14">
        <f t="shared" si="0"/>
        <v>5.18</v>
      </c>
      <c r="J14">
        <v>2.4</v>
      </c>
      <c r="K14">
        <f t="shared" si="1"/>
        <v>12.431999999999999</v>
      </c>
    </row>
    <row r="15" spans="3:11">
      <c r="C15" s="131">
        <v>12</v>
      </c>
      <c r="D15" s="131"/>
      <c r="E15" s="131">
        <v>3.6</v>
      </c>
      <c r="F15" s="131"/>
      <c r="G15" s="131"/>
      <c r="H15" s="131">
        <v>1</v>
      </c>
      <c r="I15">
        <f t="shared" si="0"/>
        <v>3.6</v>
      </c>
      <c r="J15">
        <v>2.4</v>
      </c>
      <c r="K15">
        <f t="shared" si="1"/>
        <v>8.64</v>
      </c>
    </row>
    <row r="16" spans="3:11">
      <c r="C16" s="131">
        <v>13</v>
      </c>
      <c r="D16" s="131"/>
      <c r="E16" s="131">
        <v>5.3</v>
      </c>
      <c r="F16" s="131"/>
      <c r="G16" s="131"/>
      <c r="H16" s="131"/>
      <c r="I16">
        <f t="shared" si="0"/>
        <v>5.3</v>
      </c>
      <c r="J16">
        <v>2.4</v>
      </c>
      <c r="K16">
        <f t="shared" si="1"/>
        <v>12.719999999999999</v>
      </c>
    </row>
    <row r="17" spans="2:11">
      <c r="C17" s="131">
        <v>14</v>
      </c>
      <c r="D17" s="131"/>
      <c r="E17" s="131">
        <v>13.07</v>
      </c>
      <c r="F17" s="131"/>
      <c r="G17" s="131"/>
      <c r="H17" s="131">
        <v>1</v>
      </c>
      <c r="I17">
        <f t="shared" si="0"/>
        <v>13.07</v>
      </c>
      <c r="J17">
        <v>2.4</v>
      </c>
      <c r="K17">
        <f t="shared" si="1"/>
        <v>31.367999999999999</v>
      </c>
    </row>
    <row r="18" spans="2:11">
      <c r="C18" s="131">
        <v>15</v>
      </c>
      <c r="D18" s="131"/>
      <c r="E18" s="131">
        <v>7.15</v>
      </c>
      <c r="F18" s="131"/>
      <c r="G18" s="131"/>
      <c r="H18" s="131">
        <v>1</v>
      </c>
      <c r="I18">
        <f t="shared" si="0"/>
        <v>7.15</v>
      </c>
      <c r="J18">
        <v>2.4</v>
      </c>
      <c r="K18">
        <f t="shared" si="1"/>
        <v>17.16</v>
      </c>
    </row>
    <row r="19" spans="2:11">
      <c r="C19" s="131">
        <v>16</v>
      </c>
      <c r="D19" s="131">
        <v>4.5999999999999996</v>
      </c>
      <c r="E19" s="131"/>
      <c r="F19" s="131">
        <v>9.2100000000000009</v>
      </c>
      <c r="G19" s="131"/>
      <c r="H19" s="131">
        <v>1</v>
      </c>
      <c r="I19">
        <f t="shared" si="0"/>
        <v>13.81</v>
      </c>
      <c r="J19">
        <v>2.4</v>
      </c>
      <c r="K19">
        <f t="shared" si="1"/>
        <v>33.143999999999998</v>
      </c>
    </row>
    <row r="20" spans="2:11">
      <c r="C20" s="131">
        <v>17</v>
      </c>
      <c r="D20" s="131">
        <v>5.2</v>
      </c>
      <c r="E20" s="131"/>
      <c r="F20" s="131"/>
      <c r="G20" s="131"/>
      <c r="H20" s="131"/>
      <c r="I20">
        <f t="shared" si="0"/>
        <v>5.2</v>
      </c>
      <c r="J20">
        <v>2.4</v>
      </c>
      <c r="K20">
        <f t="shared" si="1"/>
        <v>12.48</v>
      </c>
    </row>
    <row r="21" spans="2:11">
      <c r="C21" s="132" t="s">
        <v>951</v>
      </c>
      <c r="D21" s="131"/>
      <c r="E21" s="131">
        <v>3.1</v>
      </c>
      <c r="F21" s="131"/>
      <c r="G21" s="131"/>
      <c r="H21" s="131">
        <v>1</v>
      </c>
      <c r="I21">
        <f t="shared" si="0"/>
        <v>3.1</v>
      </c>
      <c r="J21">
        <v>2.4</v>
      </c>
      <c r="K21">
        <f t="shared" si="1"/>
        <v>7.4399999999999995</v>
      </c>
    </row>
    <row r="22" spans="2:11">
      <c r="C22" s="131">
        <v>18</v>
      </c>
      <c r="D22" s="131"/>
      <c r="E22" s="131">
        <v>15.8</v>
      </c>
      <c r="F22" s="131"/>
      <c r="G22" s="131"/>
      <c r="H22" s="131">
        <v>1</v>
      </c>
      <c r="I22">
        <f t="shared" si="0"/>
        <v>15.8</v>
      </c>
      <c r="J22">
        <v>2.4</v>
      </c>
      <c r="K22">
        <f t="shared" si="1"/>
        <v>37.92</v>
      </c>
    </row>
    <row r="23" spans="2:11">
      <c r="C23" s="131">
        <v>19</v>
      </c>
      <c r="D23" s="131">
        <v>10.29</v>
      </c>
      <c r="E23" s="131">
        <v>6.2</v>
      </c>
      <c r="F23" s="131"/>
      <c r="G23" s="131"/>
      <c r="H23" s="131">
        <v>2</v>
      </c>
      <c r="I23">
        <f t="shared" si="0"/>
        <v>16.489999999999998</v>
      </c>
      <c r="J23">
        <v>2.4</v>
      </c>
      <c r="K23">
        <f t="shared" si="1"/>
        <v>39.575999999999993</v>
      </c>
    </row>
    <row r="24" spans="2:11">
      <c r="C24" s="131">
        <v>20</v>
      </c>
      <c r="D24" s="131">
        <v>5.41</v>
      </c>
      <c r="E24" s="131"/>
      <c r="F24" s="131"/>
      <c r="G24" s="131"/>
      <c r="H24" s="131"/>
      <c r="I24">
        <f t="shared" si="0"/>
        <v>5.41</v>
      </c>
      <c r="J24">
        <v>2.4</v>
      </c>
      <c r="K24">
        <f t="shared" si="1"/>
        <v>12.984</v>
      </c>
    </row>
    <row r="25" spans="2:11">
      <c r="C25" s="131">
        <v>21</v>
      </c>
      <c r="D25" s="131"/>
      <c r="E25" s="131">
        <v>5</v>
      </c>
      <c r="F25" s="131"/>
      <c r="G25" s="131"/>
      <c r="H25" s="131">
        <v>1</v>
      </c>
      <c r="I25">
        <f t="shared" si="0"/>
        <v>5</v>
      </c>
      <c r="J25">
        <v>2.4</v>
      </c>
      <c r="K25">
        <f t="shared" si="1"/>
        <v>12</v>
      </c>
    </row>
    <row r="26" spans="2:11">
      <c r="C26" s="131">
        <v>22</v>
      </c>
      <c r="D26" s="131"/>
      <c r="E26" s="131">
        <v>5.2</v>
      </c>
      <c r="F26" s="131"/>
      <c r="G26" s="131"/>
      <c r="H26" s="131">
        <v>1</v>
      </c>
      <c r="I26">
        <f t="shared" si="0"/>
        <v>5.2</v>
      </c>
      <c r="J26">
        <v>2.4</v>
      </c>
      <c r="K26">
        <f t="shared" si="1"/>
        <v>12.48</v>
      </c>
    </row>
    <row r="27" spans="2:11">
      <c r="C27" s="131">
        <v>23</v>
      </c>
      <c r="D27" s="131"/>
      <c r="E27" s="131"/>
      <c r="F27" s="131"/>
      <c r="G27" s="131">
        <v>13.15</v>
      </c>
      <c r="H27" s="131">
        <v>4</v>
      </c>
      <c r="I27">
        <f t="shared" si="0"/>
        <v>13.15</v>
      </c>
      <c r="J27">
        <v>2.4</v>
      </c>
      <c r="K27">
        <f t="shared" si="1"/>
        <v>31.56</v>
      </c>
    </row>
    <row r="28" spans="2:11">
      <c r="C28" s="131">
        <v>24</v>
      </c>
      <c r="D28" s="131"/>
      <c r="E28" s="131"/>
      <c r="F28" s="131"/>
      <c r="G28" s="131">
        <v>4.5999999999999996</v>
      </c>
      <c r="H28" s="131"/>
      <c r="I28">
        <f t="shared" si="0"/>
        <v>4.5999999999999996</v>
      </c>
      <c r="J28">
        <v>2.4</v>
      </c>
      <c r="K28">
        <f t="shared" si="1"/>
        <v>11.04</v>
      </c>
    </row>
    <row r="29" spans="2:11">
      <c r="C29" s="131">
        <v>25</v>
      </c>
      <c r="D29" s="131"/>
      <c r="E29" s="131"/>
      <c r="F29" s="131"/>
      <c r="G29" s="131">
        <v>4.5999999999999996</v>
      </c>
      <c r="H29" s="131"/>
      <c r="I29">
        <f t="shared" si="0"/>
        <v>4.5999999999999996</v>
      </c>
      <c r="J29">
        <v>2.4</v>
      </c>
      <c r="K29">
        <f t="shared" si="1"/>
        <v>11.04</v>
      </c>
    </row>
    <row r="30" spans="2:11">
      <c r="C30" s="131">
        <v>26</v>
      </c>
      <c r="D30" s="131"/>
      <c r="E30" s="131"/>
      <c r="F30" s="131"/>
      <c r="G30" s="131">
        <v>4.5999999999999996</v>
      </c>
      <c r="H30" s="131"/>
      <c r="I30">
        <f t="shared" si="0"/>
        <v>4.5999999999999996</v>
      </c>
      <c r="J30">
        <v>2.4</v>
      </c>
      <c r="K30">
        <f t="shared" si="1"/>
        <v>11.04</v>
      </c>
    </row>
    <row r="31" spans="2:11">
      <c r="C31" s="131" t="s">
        <v>952</v>
      </c>
      <c r="D31">
        <f>SUM(D3:D30)</f>
        <v>84.715000000000003</v>
      </c>
      <c r="E31">
        <f t="shared" ref="E31:G31" si="3">SUM(E3:E30)</f>
        <v>125.35000000000001</v>
      </c>
      <c r="F31">
        <f t="shared" si="3"/>
        <v>9.2100000000000009</v>
      </c>
      <c r="G31">
        <f t="shared" si="3"/>
        <v>26.950000000000003</v>
      </c>
      <c r="H31">
        <f>SUM(H3:H30)</f>
        <v>23</v>
      </c>
    </row>
    <row r="32" spans="2:11">
      <c r="B32" s="131" t="s">
        <v>953</v>
      </c>
      <c r="C32" s="131">
        <v>2.4</v>
      </c>
      <c r="D32">
        <f>ROUNDUP(D31*$C$32,0)</f>
        <v>204</v>
      </c>
      <c r="E32">
        <f>ROUNDUP(E31*$C$32,0)</f>
        <v>301</v>
      </c>
      <c r="F32">
        <f>ROUNDUP(F31*$C$32,0)</f>
        <v>23</v>
      </c>
      <c r="G32">
        <f>ROUNDUP(G31*$C$32,0)</f>
        <v>65</v>
      </c>
      <c r="H32">
        <f>H31*(0.9*2.1)</f>
        <v>43.470000000000006</v>
      </c>
      <c r="I32">
        <f>SUM(D32:H32)</f>
        <v>636.47</v>
      </c>
    </row>
    <row r="33" spans="2:9">
      <c r="B33" s="131" t="s">
        <v>957</v>
      </c>
      <c r="C33" s="133">
        <v>0.05</v>
      </c>
      <c r="D33">
        <f>INT(D32*1.05)</f>
        <v>214</v>
      </c>
      <c r="E33">
        <f>INT(E32*1.05)</f>
        <v>316</v>
      </c>
      <c r="F33">
        <f>INT(F32*1.05)</f>
        <v>24</v>
      </c>
      <c r="G33">
        <f>INT(G32*1.05)</f>
        <v>68</v>
      </c>
      <c r="I33">
        <f>INT(I32*1.05)</f>
        <v>668</v>
      </c>
    </row>
    <row r="34" spans="2:9">
      <c r="E34">
        <f>E33-H32</f>
        <v>272.52999999999997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22</vt:i4>
      </vt:variant>
    </vt:vector>
  </HeadingPairs>
  <TitlesOfParts>
    <vt:vector size="34" baseType="lpstr">
      <vt:lpstr>원가계산서</vt:lpstr>
      <vt:lpstr>집계표</vt:lpstr>
      <vt:lpstr>내역서</vt:lpstr>
      <vt:lpstr>일위대가목록</vt:lpstr>
      <vt:lpstr>일위대가표</vt:lpstr>
      <vt:lpstr>중기경비목록</vt:lpstr>
      <vt:lpstr>중기경비</vt:lpstr>
      <vt:lpstr>단가산출서목록</vt:lpstr>
      <vt:lpstr>단가산출서</vt:lpstr>
      <vt:lpstr>공량산출서</vt:lpstr>
      <vt:lpstr>자재단가대비표</vt:lpstr>
      <vt:lpstr>Sheet1</vt:lpstr>
      <vt:lpstr>공량산출서!Print_Area</vt:lpstr>
      <vt:lpstr>내역서!Print_Area</vt:lpstr>
      <vt:lpstr>단가산출서!Print_Area</vt:lpstr>
      <vt:lpstr>단가산출서목록!Print_Area</vt:lpstr>
      <vt:lpstr>원가계산서!Print_Area</vt:lpstr>
      <vt:lpstr>일위대가목록!Print_Area</vt:lpstr>
      <vt:lpstr>일위대가표!Print_Area</vt:lpstr>
      <vt:lpstr>자재단가대비표!Print_Area</vt:lpstr>
      <vt:lpstr>중기경비!Print_Area</vt:lpstr>
      <vt:lpstr>중기경비목록!Print_Area</vt:lpstr>
      <vt:lpstr>집계표!Print_Area</vt:lpstr>
      <vt:lpstr>공량산출서!Print_Titles</vt:lpstr>
      <vt:lpstr>내역서!Print_Titles</vt:lpstr>
      <vt:lpstr>단가산출서!Print_Titles</vt:lpstr>
      <vt:lpstr>단가산출서목록!Print_Titles</vt:lpstr>
      <vt:lpstr>원가계산서!Print_Titles</vt:lpstr>
      <vt:lpstr>일위대가목록!Print_Titles</vt:lpstr>
      <vt:lpstr>일위대가표!Print_Titles</vt:lpstr>
      <vt:lpstr>자재단가대비표!Print_Titles</vt:lpstr>
      <vt:lpstr>중기경비!Print_Titles</vt:lpstr>
      <vt:lpstr>중기경비목록!Print_Titles</vt:lpstr>
      <vt:lpstr>집계표!Print_Titles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이영우</cp:lastModifiedBy>
  <cp:lastPrinted>2015-02-10T08:38:10Z</cp:lastPrinted>
  <dcterms:created xsi:type="dcterms:W3CDTF">2015-02-02T06:37:28Z</dcterms:created>
  <dcterms:modified xsi:type="dcterms:W3CDTF">2015-02-10T08:47:08Z</dcterms:modified>
</cp:coreProperties>
</file>